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7CD339AE-E4DE-4F3C-8E1D-FB281BA2D7B5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0" r:id="rId2"/>
    <sheet name="BASE" sheetId="205" r:id="rId3"/>
    <sheet name="EVENTUALES" sheetId="206" r:id="rId4"/>
    <sheet name="PENSIONADOS" sheetId="214" r:id="rId5"/>
    <sheet name="Apoyos " sheetId="213" r:id="rId6"/>
    <sheet name="SEG. PUBLICA" sheetId="207" r:id="rId7"/>
    <sheet name="PROT.CIVIL" sheetId="208" r:id="rId8"/>
  </sheets>
  <externalReferences>
    <externalReference r:id="rId9"/>
  </externalReferences>
  <definedNames>
    <definedName name="_xlnm._FilterDatabase" localSheetId="2" hidden="1">BASE!$G$8:$G$110</definedName>
    <definedName name="_xlnm._FilterDatabase" localSheetId="6" hidden="1">'SEG. PUBLICA'!$F$1:$F$49</definedName>
    <definedName name="_xlnm.Print_Area" localSheetId="5">'Apoyos '!$A$32:$AK$61</definedName>
    <definedName name="_xlnm.Print_Area" localSheetId="2">BASE!$B$1:$N$103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PUBLICA'!$B$1:$N$37</definedName>
    <definedName name="Credito1" localSheetId="5">'[1]Calculo ISPT 2018 quincenal'!$AG$17:$AH$27</definedName>
    <definedName name="Credito1" localSheetId="4">'[1]Calculo ISPT 2018 quincenal'!$AG$17:$AH$27</definedName>
    <definedName name="Credito1">#REF!</definedName>
    <definedName name="SUBSIDIO">tarifa!$F$13:$G$23</definedName>
    <definedName name="TARIFA">tarifa!$B$13:$D$23</definedName>
    <definedName name="TARIFA1" localSheetId="5">'[1]Calculo ISPT 2018 quincenal'!$Y$17:$AA$27</definedName>
    <definedName name="TARIFA1" localSheetId="4">'[1]Calculo ISPT 2018 quincenal'!$Y$17:$AA$27</definedName>
    <definedName name="TARIFA1">#REF!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07" l="1"/>
  <c r="J32" i="207" s="1"/>
  <c r="I33" i="207"/>
  <c r="J33" i="207" s="1"/>
  <c r="K33" i="207"/>
  <c r="L33" i="207" s="1"/>
  <c r="I31" i="207"/>
  <c r="K31" i="207" s="1"/>
  <c r="L31" i="207" s="1"/>
  <c r="I22" i="207"/>
  <c r="I72" i="206"/>
  <c r="K72" i="206" s="1"/>
  <c r="L72" i="206" s="1"/>
  <c r="I54" i="206"/>
  <c r="K98" i="206"/>
  <c r="L98" i="206" s="1"/>
  <c r="I98" i="206"/>
  <c r="J98" i="206" s="1"/>
  <c r="I28" i="206"/>
  <c r="J28" i="206" s="1"/>
  <c r="M33" i="207" l="1"/>
  <c r="K32" i="207"/>
  <c r="L32" i="207" s="1"/>
  <c r="M32" i="207" s="1"/>
  <c r="J31" i="207"/>
  <c r="M31" i="207" s="1"/>
  <c r="J72" i="206"/>
  <c r="M72" i="206" s="1"/>
  <c r="J54" i="206"/>
  <c r="K54" i="206"/>
  <c r="L54" i="206" s="1"/>
  <c r="M98" i="206"/>
  <c r="K28" i="206"/>
  <c r="L28" i="206" s="1"/>
  <c r="M28" i="206" s="1"/>
  <c r="K27" i="205"/>
  <c r="L27" i="205" s="1"/>
  <c r="I27" i="205"/>
  <c r="J27" i="205" s="1"/>
  <c r="M27" i="205" s="1"/>
  <c r="I28" i="208"/>
  <c r="I29" i="208"/>
  <c r="M54" i="206" l="1"/>
  <c r="J28" i="208"/>
  <c r="K28" i="208"/>
  <c r="L28" i="208" s="1"/>
  <c r="J29" i="208"/>
  <c r="K29" i="208"/>
  <c r="L29" i="208" s="1"/>
  <c r="I11" i="208"/>
  <c r="K11" i="208" s="1"/>
  <c r="L11" i="208" s="1"/>
  <c r="I30" i="207"/>
  <c r="L20" i="210"/>
  <c r="I71" i="206"/>
  <c r="J71" i="206" s="1"/>
  <c r="K101" i="206"/>
  <c r="L101" i="206" s="1"/>
  <c r="I101" i="206"/>
  <c r="M28" i="208" l="1"/>
  <c r="M29" i="208"/>
  <c r="J11" i="208"/>
  <c r="M11" i="208" s="1"/>
  <c r="J30" i="207"/>
  <c r="K30" i="207"/>
  <c r="L30" i="207" s="1"/>
  <c r="K71" i="206"/>
  <c r="L71" i="206" s="1"/>
  <c r="M71" i="206" s="1"/>
  <c r="J101" i="206"/>
  <c r="M101" i="206" s="1"/>
  <c r="M30" i="207" l="1"/>
  <c r="I29" i="207"/>
  <c r="K29" i="207" l="1"/>
  <c r="L29" i="207" s="1"/>
  <c r="J29" i="207"/>
  <c r="I26" i="207"/>
  <c r="K26" i="207" s="1"/>
  <c r="L26" i="207" s="1"/>
  <c r="I28" i="207"/>
  <c r="K28" i="207" s="1"/>
  <c r="L28" i="207" s="1"/>
  <c r="I22" i="208"/>
  <c r="J22" i="208" s="1"/>
  <c r="I27" i="207"/>
  <c r="K27" i="207" s="1"/>
  <c r="L27" i="207" s="1"/>
  <c r="I25" i="207"/>
  <c r="I24" i="206"/>
  <c r="K24" i="206" s="1"/>
  <c r="L24" i="206" s="1"/>
  <c r="N25" i="206"/>
  <c r="I39" i="206"/>
  <c r="K39" i="206" s="1"/>
  <c r="L39" i="206" s="1"/>
  <c r="H66" i="213"/>
  <c r="K126" i="206"/>
  <c r="L126" i="206" s="1"/>
  <c r="I126" i="206"/>
  <c r="J126" i="206" s="1"/>
  <c r="K46" i="206"/>
  <c r="L46" i="206" s="1"/>
  <c r="I46" i="206"/>
  <c r="M29" i="207" l="1"/>
  <c r="J26" i="207"/>
  <c r="M26" i="207" s="1"/>
  <c r="K22" i="208"/>
  <c r="L22" i="208" s="1"/>
  <c r="J28" i="207"/>
  <c r="M28" i="207" s="1"/>
  <c r="J27" i="207"/>
  <c r="M27" i="207" s="1"/>
  <c r="J25" i="207"/>
  <c r="K25" i="207"/>
  <c r="L25" i="207" s="1"/>
  <c r="J24" i="206"/>
  <c r="M24" i="206" s="1"/>
  <c r="J39" i="206"/>
  <c r="M39" i="206" s="1"/>
  <c r="M126" i="206"/>
  <c r="J46" i="206"/>
  <c r="M46" i="206" s="1"/>
  <c r="H69" i="213"/>
  <c r="I24" i="207"/>
  <c r="K24" i="207" s="1"/>
  <c r="L24" i="207" s="1"/>
  <c r="L111" i="206"/>
  <c r="I110" i="206"/>
  <c r="H54" i="213"/>
  <c r="M22" i="208" l="1"/>
  <c r="M25" i="207"/>
  <c r="J24" i="207"/>
  <c r="M24" i="207" s="1"/>
  <c r="J111" i="206"/>
  <c r="M111" i="206" s="1"/>
  <c r="K12" i="206"/>
  <c r="L12" i="206" s="1"/>
  <c r="I12" i="206"/>
  <c r="J12" i="206" s="1"/>
  <c r="K73" i="206"/>
  <c r="L73" i="206" s="1"/>
  <c r="I73" i="206"/>
  <c r="M12" i="206" l="1"/>
  <c r="J73" i="206"/>
  <c r="M73" i="206" s="1"/>
  <c r="G49" i="213"/>
  <c r="I31" i="206" l="1"/>
  <c r="J31" i="206" s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S17" i="214" s="1"/>
  <c r="R16" i="214"/>
  <c r="K16" i="214"/>
  <c r="P16" i="214" s="1"/>
  <c r="G53" i="213"/>
  <c r="G50" i="213"/>
  <c r="H21" i="213"/>
  <c r="G20" i="213"/>
  <c r="H16" i="213"/>
  <c r="H10" i="213"/>
  <c r="H22" i="213" l="1"/>
  <c r="S21" i="214"/>
  <c r="X21" i="214" s="1"/>
  <c r="S19" i="214"/>
  <c r="X19" i="214" s="1"/>
  <c r="S22" i="214"/>
  <c r="V22" i="214" s="1"/>
  <c r="AL9" i="213"/>
  <c r="K31" i="206"/>
  <c r="L31" i="206" s="1"/>
  <c r="M31" i="206" s="1"/>
  <c r="R24" i="214"/>
  <c r="P17" i="214"/>
  <c r="S16" i="214"/>
  <c r="S18" i="214"/>
  <c r="X18" i="214" s="1"/>
  <c r="Z21" i="214"/>
  <c r="V21" i="214"/>
  <c r="V17" i="214"/>
  <c r="T17" i="214"/>
  <c r="U17" i="214" s="1"/>
  <c r="Z17" i="214"/>
  <c r="X17" i="214"/>
  <c r="T16" i="214"/>
  <c r="P18" i="214"/>
  <c r="S20" i="214"/>
  <c r="P21" i="214"/>
  <c r="P19" i="214"/>
  <c r="K24" i="214"/>
  <c r="V16" i="214"/>
  <c r="X16" i="214"/>
  <c r="Z16" i="214"/>
  <c r="Z22" i="214" l="1"/>
  <c r="T22" i="214"/>
  <c r="U22" i="214" s="1"/>
  <c r="X22" i="214"/>
  <c r="V19" i="214"/>
  <c r="T21" i="214"/>
  <c r="U21" i="214" s="1"/>
  <c r="W21" i="214" s="1"/>
  <c r="Y21" i="214" s="1"/>
  <c r="AA21" i="214" s="1"/>
  <c r="AD21" i="214" s="1"/>
  <c r="AI21" i="214" s="1"/>
  <c r="AJ21" i="214" s="1"/>
  <c r="T18" i="214"/>
  <c r="U18" i="214" s="1"/>
  <c r="V18" i="214"/>
  <c r="S24" i="214"/>
  <c r="Z19" i="214"/>
  <c r="T19" i="214"/>
  <c r="U19" i="214" s="1"/>
  <c r="Z18" i="214"/>
  <c r="P24" i="214"/>
  <c r="W17" i="214"/>
  <c r="Y17" i="214" s="1"/>
  <c r="AA17" i="214" s="1"/>
  <c r="AD17" i="214" s="1"/>
  <c r="AI17" i="214" s="1"/>
  <c r="AJ17" i="214" s="1"/>
  <c r="W22" i="214"/>
  <c r="U16" i="214"/>
  <c r="V20" i="214"/>
  <c r="T20" i="214"/>
  <c r="U20" i="214" s="1"/>
  <c r="X20" i="214"/>
  <c r="X24" i="214" s="1"/>
  <c r="Z20" i="214"/>
  <c r="Y22" i="214" l="1"/>
  <c r="AA22" i="214" s="1"/>
  <c r="AD22" i="214" s="1"/>
  <c r="AI22" i="214" s="1"/>
  <c r="AJ22" i="214" s="1"/>
  <c r="W19" i="214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09" i="206"/>
  <c r="J109" i="206"/>
  <c r="K110" i="206"/>
  <c r="L110" i="206" s="1"/>
  <c r="M109" i="206" l="1"/>
  <c r="J110" i="206"/>
  <c r="M110" i="206" s="1"/>
  <c r="I26" i="208" l="1"/>
  <c r="K26" i="208" s="1"/>
  <c r="L26" i="208" s="1"/>
  <c r="I27" i="208"/>
  <c r="K27" i="208" s="1"/>
  <c r="L27" i="208" s="1"/>
  <c r="I20" i="208"/>
  <c r="J20" i="208" s="1"/>
  <c r="I8" i="208"/>
  <c r="K8" i="208" s="1"/>
  <c r="I23" i="207"/>
  <c r="J23" i="207" s="1"/>
  <c r="I19" i="207"/>
  <c r="K19" i="207" s="1"/>
  <c r="L19" i="207" s="1"/>
  <c r="I14" i="207"/>
  <c r="K14" i="207" s="1"/>
  <c r="L14" i="207" s="1"/>
  <c r="I9" i="207"/>
  <c r="K9" i="207" s="1"/>
  <c r="L9" i="207" s="1"/>
  <c r="I124" i="206"/>
  <c r="J124" i="206" s="1"/>
  <c r="I115" i="206"/>
  <c r="J115" i="206" s="1"/>
  <c r="I113" i="206"/>
  <c r="J113" i="206" s="1"/>
  <c r="I105" i="206"/>
  <c r="I102" i="206"/>
  <c r="J102" i="206" s="1"/>
  <c r="I94" i="206"/>
  <c r="J94" i="206" s="1"/>
  <c r="I93" i="206"/>
  <c r="J93" i="206" s="1"/>
  <c r="I92" i="206"/>
  <c r="J92" i="206" s="1"/>
  <c r="I89" i="206"/>
  <c r="J89" i="206" s="1"/>
  <c r="I84" i="206"/>
  <c r="J84" i="206" s="1"/>
  <c r="I77" i="206"/>
  <c r="I67" i="206"/>
  <c r="J67" i="206" s="1"/>
  <c r="I60" i="206"/>
  <c r="K60" i="206" s="1"/>
  <c r="L60" i="206" s="1"/>
  <c r="I59" i="206"/>
  <c r="J59" i="206" s="1"/>
  <c r="I49" i="206"/>
  <c r="I55" i="206"/>
  <c r="J55" i="206" s="1"/>
  <c r="I53" i="206"/>
  <c r="J53" i="206" s="1"/>
  <c r="I52" i="206"/>
  <c r="J52" i="206" s="1"/>
  <c r="I51" i="206"/>
  <c r="J51" i="206" s="1"/>
  <c r="I32" i="206"/>
  <c r="J32" i="206" s="1"/>
  <c r="I23" i="206"/>
  <c r="J23" i="206" s="1"/>
  <c r="I18" i="206"/>
  <c r="I96" i="205"/>
  <c r="I97" i="205"/>
  <c r="K89" i="205"/>
  <c r="I84" i="205"/>
  <c r="I81" i="205"/>
  <c r="I78" i="205"/>
  <c r="I63" i="205"/>
  <c r="I62" i="205"/>
  <c r="I61" i="205"/>
  <c r="I58" i="205"/>
  <c r="I40" i="205"/>
  <c r="I37" i="205"/>
  <c r="I36" i="205"/>
  <c r="I34" i="205"/>
  <c r="I31" i="205"/>
  <c r="I30" i="205"/>
  <c r="I26" i="205"/>
  <c r="I25" i="205"/>
  <c r="I24" i="205"/>
  <c r="I20" i="205"/>
  <c r="I13" i="205"/>
  <c r="I19" i="210"/>
  <c r="I18" i="210"/>
  <c r="I17" i="210"/>
  <c r="I16" i="210"/>
  <c r="I15" i="210"/>
  <c r="I14" i="210"/>
  <c r="I13" i="210"/>
  <c r="I12" i="210"/>
  <c r="I11" i="210"/>
  <c r="I10" i="210"/>
  <c r="I9" i="205"/>
  <c r="K24" i="208"/>
  <c r="L24" i="208" s="1"/>
  <c r="I138" i="206"/>
  <c r="J138" i="206" s="1"/>
  <c r="K130" i="206"/>
  <c r="L130" i="206" s="1"/>
  <c r="K129" i="206"/>
  <c r="L129" i="206" s="1"/>
  <c r="K125" i="206"/>
  <c r="K123" i="206"/>
  <c r="L123" i="206" s="1"/>
  <c r="K122" i="206"/>
  <c r="K119" i="206"/>
  <c r="L119" i="206" s="1"/>
  <c r="K118" i="206"/>
  <c r="L118" i="206" s="1"/>
  <c r="K117" i="206"/>
  <c r="L117" i="206" s="1"/>
  <c r="K116" i="206"/>
  <c r="L116" i="206" s="1"/>
  <c r="K114" i="206"/>
  <c r="L114" i="206" s="1"/>
  <c r="K113" i="206"/>
  <c r="L113" i="206" s="1"/>
  <c r="K112" i="206"/>
  <c r="L112" i="206" s="1"/>
  <c r="K108" i="206"/>
  <c r="L108" i="206" s="1"/>
  <c r="K107" i="206"/>
  <c r="L107" i="206" s="1"/>
  <c r="K106" i="206"/>
  <c r="L106" i="206" s="1"/>
  <c r="K105" i="206"/>
  <c r="L105" i="206" s="1"/>
  <c r="K102" i="206"/>
  <c r="L102" i="206" s="1"/>
  <c r="K100" i="206"/>
  <c r="L100" i="206" s="1"/>
  <c r="K99" i="206"/>
  <c r="L99" i="206" s="1"/>
  <c r="K97" i="206"/>
  <c r="L97" i="206" s="1"/>
  <c r="K95" i="206"/>
  <c r="L95" i="206" s="1"/>
  <c r="K94" i="206"/>
  <c r="L94" i="206" s="1"/>
  <c r="K93" i="206"/>
  <c r="L93" i="206" s="1"/>
  <c r="K92" i="206"/>
  <c r="L92" i="206" s="1"/>
  <c r="K90" i="206"/>
  <c r="L90" i="206" s="1"/>
  <c r="K89" i="206"/>
  <c r="L89" i="206" s="1"/>
  <c r="K88" i="206"/>
  <c r="L88" i="206" s="1"/>
  <c r="K85" i="206"/>
  <c r="L85" i="206" s="1"/>
  <c r="K83" i="206"/>
  <c r="L83" i="206" s="1"/>
  <c r="K82" i="206"/>
  <c r="L82" i="206" s="1"/>
  <c r="K81" i="206"/>
  <c r="L81" i="206" s="1"/>
  <c r="K80" i="206"/>
  <c r="L80" i="206" s="1"/>
  <c r="K70" i="206"/>
  <c r="L70" i="206" s="1"/>
  <c r="K67" i="206"/>
  <c r="L67" i="206" s="1"/>
  <c r="K68" i="206"/>
  <c r="L68" i="206" s="1"/>
  <c r="K69" i="206"/>
  <c r="L69" i="206" s="1"/>
  <c r="K66" i="206"/>
  <c r="L66" i="206" s="1"/>
  <c r="K65" i="206"/>
  <c r="L65" i="206" s="1"/>
  <c r="K59" i="206"/>
  <c r="L59" i="206" s="1"/>
  <c r="K58" i="206"/>
  <c r="L58" i="206" s="1"/>
  <c r="K55" i="206"/>
  <c r="L55" i="206" s="1"/>
  <c r="K47" i="206"/>
  <c r="L47" i="206" s="1"/>
  <c r="K48" i="206"/>
  <c r="L48" i="206" s="1"/>
  <c r="K45" i="206"/>
  <c r="L45" i="206" s="1"/>
  <c r="K43" i="206"/>
  <c r="L43" i="206" s="1"/>
  <c r="K42" i="206"/>
  <c r="L42" i="206" s="1"/>
  <c r="K36" i="206"/>
  <c r="L36" i="206" s="1"/>
  <c r="K37" i="206"/>
  <c r="L37" i="206" s="1"/>
  <c r="K38" i="206"/>
  <c r="L38" i="206" s="1"/>
  <c r="K35" i="206"/>
  <c r="K29" i="206"/>
  <c r="L29" i="206" s="1"/>
  <c r="K30" i="206"/>
  <c r="L30" i="206" s="1"/>
  <c r="I32" i="205" l="1"/>
  <c r="J8" i="208"/>
  <c r="L8" i="208"/>
  <c r="I98" i="205"/>
  <c r="L125" i="206"/>
  <c r="J26" i="208"/>
  <c r="K49" i="206"/>
  <c r="L49" i="206" s="1"/>
  <c r="K20" i="208"/>
  <c r="L20" i="208" s="1"/>
  <c r="L35" i="206"/>
  <c r="L40" i="206" s="1"/>
  <c r="K40" i="206"/>
  <c r="L122" i="206"/>
  <c r="K52" i="206"/>
  <c r="L52" i="206" s="1"/>
  <c r="K124" i="206"/>
  <c r="L124" i="206" s="1"/>
  <c r="K18" i="206"/>
  <c r="L18" i="206" s="1"/>
  <c r="I19" i="206"/>
  <c r="J60" i="206"/>
  <c r="J105" i="206"/>
  <c r="K115" i="206"/>
  <c r="L115" i="206" s="1"/>
  <c r="K53" i="206"/>
  <c r="L53" i="206" s="1"/>
  <c r="K23" i="207"/>
  <c r="L23" i="207" s="1"/>
  <c r="J19" i="207"/>
  <c r="K51" i="206"/>
  <c r="L51" i="206" s="1"/>
  <c r="J18" i="206"/>
  <c r="J27" i="208"/>
  <c r="K84" i="206"/>
  <c r="L84" i="206" s="1"/>
  <c r="K23" i="206"/>
  <c r="L23" i="206" s="1"/>
  <c r="K32" i="206"/>
  <c r="L32" i="206" s="1"/>
  <c r="J49" i="206"/>
  <c r="I20" i="210"/>
  <c r="J14" i="207"/>
  <c r="J9" i="207"/>
  <c r="K138" i="206"/>
  <c r="L138" i="206" s="1"/>
  <c r="K127" i="206" l="1"/>
  <c r="L127" i="206"/>
  <c r="M49" i="206"/>
  <c r="I15" i="206"/>
  <c r="J15" i="206" s="1"/>
  <c r="I14" i="206"/>
  <c r="J14" i="206" s="1"/>
  <c r="I11" i="206"/>
  <c r="J11" i="206" s="1"/>
  <c r="K14" i="206"/>
  <c r="L14" i="206" s="1"/>
  <c r="K13" i="206"/>
  <c r="L13" i="206" s="1"/>
  <c r="K11" i="206"/>
  <c r="L11" i="206" s="1"/>
  <c r="K10" i="206"/>
  <c r="L10" i="206" s="1"/>
  <c r="K97" i="205"/>
  <c r="L97" i="205" s="1"/>
  <c r="J97" i="205"/>
  <c r="K96" i="205"/>
  <c r="L96" i="205" s="1"/>
  <c r="J96" i="205"/>
  <c r="I88" i="205"/>
  <c r="K84" i="205"/>
  <c r="L84" i="205" s="1"/>
  <c r="J84" i="205"/>
  <c r="K81" i="205"/>
  <c r="L81" i="205" s="1"/>
  <c r="J81" i="205"/>
  <c r="K78" i="205"/>
  <c r="L78" i="205" s="1"/>
  <c r="J78" i="205"/>
  <c r="K75" i="205"/>
  <c r="L75" i="205" s="1"/>
  <c r="K70" i="205"/>
  <c r="L70" i="205" s="1"/>
  <c r="K71" i="205"/>
  <c r="L71" i="205" s="1"/>
  <c r="K63" i="205"/>
  <c r="L63" i="205" s="1"/>
  <c r="J63" i="205"/>
  <c r="K62" i="205"/>
  <c r="L62" i="205" s="1"/>
  <c r="J62" i="205"/>
  <c r="K61" i="205"/>
  <c r="L61" i="205" s="1"/>
  <c r="J61" i="205"/>
  <c r="K58" i="205"/>
  <c r="J58" i="205"/>
  <c r="K49" i="205"/>
  <c r="K40" i="205"/>
  <c r="J40" i="205"/>
  <c r="K36" i="205"/>
  <c r="J36" i="205"/>
  <c r="K35" i="205"/>
  <c r="K34" i="205"/>
  <c r="J34" i="205"/>
  <c r="J37" i="205"/>
  <c r="K31" i="205"/>
  <c r="J31" i="205"/>
  <c r="K30" i="205"/>
  <c r="J30" i="205"/>
  <c r="J24" i="205"/>
  <c r="K24" i="205"/>
  <c r="J25" i="205"/>
  <c r="K25" i="205"/>
  <c r="J26" i="205"/>
  <c r="K26" i="205"/>
  <c r="K20" i="205"/>
  <c r="J20" i="205"/>
  <c r="K10" i="205"/>
  <c r="K12" i="205"/>
  <c r="K13" i="205"/>
  <c r="K9" i="205"/>
  <c r="J10" i="205"/>
  <c r="J13" i="205"/>
  <c r="K88" i="205" l="1"/>
  <c r="L88" i="205" s="1"/>
  <c r="K15" i="206"/>
  <c r="J88" i="205"/>
  <c r="J9" i="205"/>
  <c r="J11" i="210"/>
  <c r="K11" i="210"/>
  <c r="J12" i="210"/>
  <c r="K12" i="210"/>
  <c r="J13" i="210"/>
  <c r="K13" i="210"/>
  <c r="J14" i="210"/>
  <c r="K14" i="210"/>
  <c r="J15" i="210"/>
  <c r="K15" i="210"/>
  <c r="J16" i="210"/>
  <c r="K16" i="210"/>
  <c r="J17" i="210"/>
  <c r="K17" i="210"/>
  <c r="J18" i="210"/>
  <c r="K18" i="210"/>
  <c r="J19" i="210"/>
  <c r="K19" i="210"/>
  <c r="J10" i="210"/>
  <c r="K10" i="210"/>
  <c r="M11" i="210" l="1"/>
  <c r="N11" i="210" s="1"/>
  <c r="M10" i="210"/>
  <c r="K20" i="210"/>
  <c r="J20" i="210"/>
  <c r="I23" i="208"/>
  <c r="N10" i="210" l="1"/>
  <c r="K23" i="208"/>
  <c r="L23" i="208" s="1"/>
  <c r="J23" i="208"/>
  <c r="M20" i="208"/>
  <c r="M26" i="208"/>
  <c r="M27" i="208"/>
  <c r="M8" i="208"/>
  <c r="I24" i="208"/>
  <c r="I21" i="208"/>
  <c r="M9" i="207"/>
  <c r="M14" i="207"/>
  <c r="M19" i="207"/>
  <c r="M23" i="207"/>
  <c r="I11" i="207"/>
  <c r="J139" i="206"/>
  <c r="K139" i="206"/>
  <c r="K120" i="206"/>
  <c r="K86" i="206"/>
  <c r="J19" i="206"/>
  <c r="K19" i="206"/>
  <c r="L139" i="206"/>
  <c r="M124" i="206"/>
  <c r="M115" i="206"/>
  <c r="M113" i="206"/>
  <c r="M105" i="206"/>
  <c r="M102" i="206"/>
  <c r="M94" i="206"/>
  <c r="M93" i="206"/>
  <c r="M84" i="206"/>
  <c r="L77" i="206"/>
  <c r="M77" i="206" s="1"/>
  <c r="M60" i="206"/>
  <c r="M59" i="206"/>
  <c r="M55" i="206"/>
  <c r="M53" i="206"/>
  <c r="M52" i="206"/>
  <c r="M51" i="206"/>
  <c r="M32" i="206"/>
  <c r="M23" i="206"/>
  <c r="M18" i="206"/>
  <c r="M19" i="206" s="1"/>
  <c r="L15" i="206"/>
  <c r="M15" i="206" s="1"/>
  <c r="M14" i="206"/>
  <c r="M11" i="206"/>
  <c r="I135" i="206"/>
  <c r="I136" i="206" s="1"/>
  <c r="M97" i="205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L26" i="205"/>
  <c r="M26" i="205" s="1"/>
  <c r="L25" i="205"/>
  <c r="L24" i="205"/>
  <c r="M24" i="205" s="1"/>
  <c r="L20" i="205"/>
  <c r="M20" i="205" s="1"/>
  <c r="L10" i="205"/>
  <c r="M10" i="205" s="1"/>
  <c r="L12" i="205"/>
  <c r="L13" i="205"/>
  <c r="M13" i="205" s="1"/>
  <c r="L9" i="205"/>
  <c r="I19" i="205"/>
  <c r="I21" i="205" s="1"/>
  <c r="I23" i="205"/>
  <c r="I28" i="205" s="1"/>
  <c r="I35" i="205"/>
  <c r="I38" i="205" s="1"/>
  <c r="I41" i="205"/>
  <c r="I42" i="205" s="1"/>
  <c r="I44" i="205"/>
  <c r="I45" i="205"/>
  <c r="I48" i="205"/>
  <c r="I49" i="205"/>
  <c r="J49" i="205" s="1"/>
  <c r="I52" i="205"/>
  <c r="M12" i="210"/>
  <c r="M13" i="210"/>
  <c r="N13" i="210" s="1"/>
  <c r="M14" i="210"/>
  <c r="N14" i="210" s="1"/>
  <c r="M15" i="210"/>
  <c r="N15" i="210" s="1"/>
  <c r="M16" i="210"/>
  <c r="N16" i="210" s="1"/>
  <c r="M17" i="210"/>
  <c r="N17" i="210" s="1"/>
  <c r="M18" i="210"/>
  <c r="N18" i="210" s="1"/>
  <c r="M19" i="210"/>
  <c r="N19" i="210" s="1"/>
  <c r="J82" i="205"/>
  <c r="N32" i="210" l="1"/>
  <c r="M20" i="210"/>
  <c r="M98" i="205"/>
  <c r="I50" i="205"/>
  <c r="I46" i="205"/>
  <c r="J35" i="205"/>
  <c r="M35" i="205" s="1"/>
  <c r="M38" i="205" s="1"/>
  <c r="M30" i="205"/>
  <c r="M32" i="205" s="1"/>
  <c r="L32" i="205"/>
  <c r="M23" i="208"/>
  <c r="K45" i="205"/>
  <c r="L45" i="205" s="1"/>
  <c r="J45" i="205"/>
  <c r="K11" i="207"/>
  <c r="L11" i="207" s="1"/>
  <c r="J11" i="207"/>
  <c r="K21" i="208"/>
  <c r="L21" i="208" s="1"/>
  <c r="J21" i="208"/>
  <c r="K48" i="205"/>
  <c r="L48" i="205" s="1"/>
  <c r="J48" i="205"/>
  <c r="J24" i="208"/>
  <c r="M24" i="208" s="1"/>
  <c r="K41" i="205"/>
  <c r="L41" i="205" s="1"/>
  <c r="J41" i="205"/>
  <c r="K135" i="206"/>
  <c r="J135" i="206"/>
  <c r="J136" i="206" s="1"/>
  <c r="K44" i="205"/>
  <c r="L44" i="205" s="1"/>
  <c r="J44" i="205"/>
  <c r="K23" i="205"/>
  <c r="K28" i="205" s="1"/>
  <c r="J23" i="205"/>
  <c r="K19" i="205"/>
  <c r="L19" i="205" s="1"/>
  <c r="J19" i="205"/>
  <c r="K52" i="205"/>
  <c r="L52" i="205" s="1"/>
  <c r="J52" i="205"/>
  <c r="N12" i="210"/>
  <c r="N31" i="210" s="1"/>
  <c r="L19" i="206"/>
  <c r="L86" i="206"/>
  <c r="M138" i="206"/>
  <c r="M139" i="206" s="1"/>
  <c r="L120" i="206"/>
  <c r="M67" i="206"/>
  <c r="M49" i="205"/>
  <c r="M25" i="205"/>
  <c r="L82" i="205"/>
  <c r="M82" i="205"/>
  <c r="J98" i="205"/>
  <c r="L79" i="205"/>
  <c r="J79" i="205"/>
  <c r="J32" i="205"/>
  <c r="O20" i="210"/>
  <c r="N20" i="210" l="1"/>
  <c r="L23" i="205"/>
  <c r="L28" i="205" s="1"/>
  <c r="M44" i="205"/>
  <c r="M41" i="205"/>
  <c r="M42" i="205" s="1"/>
  <c r="M45" i="205"/>
  <c r="M48" i="205"/>
  <c r="M50" i="205" s="1"/>
  <c r="M19" i="205"/>
  <c r="M11" i="207"/>
  <c r="M52" i="205"/>
  <c r="M53" i="205" s="1"/>
  <c r="M21" i="208"/>
  <c r="L135" i="206"/>
  <c r="K136" i="206"/>
  <c r="N34" i="210"/>
  <c r="N36" i="210" s="1"/>
  <c r="K82" i="205"/>
  <c r="K32" i="205"/>
  <c r="K98" i="205"/>
  <c r="K79" i="205"/>
  <c r="L98" i="205"/>
  <c r="N56" i="206"/>
  <c r="M21" i="205" l="1"/>
  <c r="M46" i="205"/>
  <c r="M23" i="205"/>
  <c r="M28" i="205" s="1"/>
  <c r="L136" i="206"/>
  <c r="M135" i="206"/>
  <c r="M136" i="206" s="1"/>
  <c r="N78" i="206"/>
  <c r="N40" i="206"/>
  <c r="I38" i="206"/>
  <c r="I36" i="206"/>
  <c r="N33" i="206"/>
  <c r="N16" i="206"/>
  <c r="I82" i="205"/>
  <c r="I79" i="205"/>
  <c r="I76" i="206"/>
  <c r="I78" i="206" s="1"/>
  <c r="N139" i="206"/>
  <c r="I139" i="206"/>
  <c r="N136" i="206"/>
  <c r="N133" i="206"/>
  <c r="N127" i="206"/>
  <c r="N120" i="206"/>
  <c r="N103" i="206"/>
  <c r="N86" i="206"/>
  <c r="N74" i="206"/>
  <c r="N62" i="206"/>
  <c r="N19" i="206"/>
  <c r="J36" i="206" l="1"/>
  <c r="M36" i="206" s="1"/>
  <c r="K76" i="206"/>
  <c r="J76" i="206"/>
  <c r="J78" i="206" s="1"/>
  <c r="J38" i="206"/>
  <c r="M38" i="206" s="1"/>
  <c r="I61" i="206"/>
  <c r="L76" i="206" l="1"/>
  <c r="K78" i="206"/>
  <c r="K61" i="206"/>
  <c r="J61" i="206"/>
  <c r="L78" i="206" l="1"/>
  <c r="M76" i="206"/>
  <c r="M78" i="206" s="1"/>
  <c r="L61" i="206"/>
  <c r="L62" i="206" s="1"/>
  <c r="K62" i="206"/>
  <c r="M61" i="206" l="1"/>
  <c r="K22" i="207"/>
  <c r="L22" i="207" s="1"/>
  <c r="J22" i="207"/>
  <c r="I43" i="206"/>
  <c r="I44" i="206"/>
  <c r="I45" i="206"/>
  <c r="I47" i="206"/>
  <c r="I48" i="206"/>
  <c r="I50" i="206"/>
  <c r="M22" i="207" l="1"/>
  <c r="K50" i="206"/>
  <c r="L50" i="206" s="1"/>
  <c r="J50" i="206"/>
  <c r="J48" i="206"/>
  <c r="M48" i="206" s="1"/>
  <c r="J45" i="206"/>
  <c r="M45" i="206" s="1"/>
  <c r="K44" i="206"/>
  <c r="J44" i="206"/>
  <c r="J43" i="206"/>
  <c r="M43" i="206" s="1"/>
  <c r="J47" i="206"/>
  <c r="M47" i="206" s="1"/>
  <c r="I10" i="207"/>
  <c r="I12" i="207"/>
  <c r="I13" i="207"/>
  <c r="I15" i="207"/>
  <c r="I16" i="207"/>
  <c r="I17" i="207"/>
  <c r="I18" i="207"/>
  <c r="I20" i="207"/>
  <c r="I21" i="207"/>
  <c r="I70" i="206"/>
  <c r="M50" i="206" l="1"/>
  <c r="J70" i="206"/>
  <c r="M70" i="206" s="1"/>
  <c r="K16" i="207"/>
  <c r="L16" i="207" s="1"/>
  <c r="J16" i="207"/>
  <c r="K15" i="207"/>
  <c r="L15" i="207" s="1"/>
  <c r="J15" i="207"/>
  <c r="J18" i="207"/>
  <c r="K18" i="207"/>
  <c r="L18" i="207" s="1"/>
  <c r="K20" i="207"/>
  <c r="L20" i="207" s="1"/>
  <c r="J20" i="207"/>
  <c r="K12" i="207"/>
  <c r="L12" i="207" s="1"/>
  <c r="J12" i="207"/>
  <c r="J21" i="207"/>
  <c r="K21" i="207"/>
  <c r="L21" i="207" s="1"/>
  <c r="K13" i="207"/>
  <c r="L13" i="207" s="1"/>
  <c r="J13" i="207"/>
  <c r="K10" i="207"/>
  <c r="L10" i="207" s="1"/>
  <c r="J10" i="207"/>
  <c r="L44" i="206"/>
  <c r="K56" i="206"/>
  <c r="K17" i="207"/>
  <c r="L17" i="207" s="1"/>
  <c r="J17" i="207"/>
  <c r="M15" i="207" l="1"/>
  <c r="M17" i="207"/>
  <c r="M12" i="207"/>
  <c r="M13" i="207"/>
  <c r="M20" i="207"/>
  <c r="M16" i="207"/>
  <c r="M10" i="207"/>
  <c r="M46" i="207" s="1"/>
  <c r="M18" i="207"/>
  <c r="M21" i="207"/>
  <c r="L56" i="206"/>
  <c r="M44" i="206"/>
  <c r="J42" i="205" l="1"/>
  <c r="L42" i="205"/>
  <c r="I65" i="206"/>
  <c r="J65" i="206" l="1"/>
  <c r="M65" i="206" s="1"/>
  <c r="K42" i="205"/>
  <c r="I16" i="208" l="1"/>
  <c r="K16" i="208" l="1"/>
  <c r="L16" i="208" s="1"/>
  <c r="J16" i="208"/>
  <c r="I68" i="206"/>
  <c r="M16" i="208" l="1"/>
  <c r="J68" i="206"/>
  <c r="M68" i="206" s="1"/>
  <c r="I18" i="208"/>
  <c r="I17" i="208"/>
  <c r="K18" i="208" l="1"/>
  <c r="L18" i="208" s="1"/>
  <c r="J18" i="208"/>
  <c r="J17" i="208"/>
  <c r="K17" i="208"/>
  <c r="L17" i="208" s="1"/>
  <c r="I129" i="206"/>
  <c r="M18" i="208" l="1"/>
  <c r="M17" i="208"/>
  <c r="J129" i="206"/>
  <c r="M129" i="206" s="1"/>
  <c r="I9" i="208"/>
  <c r="I10" i="208"/>
  <c r="I12" i="208"/>
  <c r="I13" i="208"/>
  <c r="I14" i="208"/>
  <c r="I15" i="208"/>
  <c r="I19" i="208"/>
  <c r="I8" i="206"/>
  <c r="I130" i="206"/>
  <c r="I131" i="206"/>
  <c r="I122" i="206"/>
  <c r="I123" i="206"/>
  <c r="I125" i="206"/>
  <c r="I106" i="206"/>
  <c r="I107" i="206"/>
  <c r="I108" i="206"/>
  <c r="I112" i="206"/>
  <c r="I114" i="206"/>
  <c r="I116" i="206"/>
  <c r="I117" i="206"/>
  <c r="I118" i="206"/>
  <c r="I119" i="206"/>
  <c r="I90" i="206"/>
  <c r="I91" i="206"/>
  <c r="M92" i="206"/>
  <c r="I95" i="206"/>
  <c r="I96" i="206"/>
  <c r="K96" i="206" s="1"/>
  <c r="L96" i="206" s="1"/>
  <c r="I97" i="206"/>
  <c r="I99" i="206"/>
  <c r="I100" i="206"/>
  <c r="I88" i="206"/>
  <c r="I85" i="206"/>
  <c r="I81" i="206"/>
  <c r="I82" i="206"/>
  <c r="I83" i="206"/>
  <c r="I80" i="206"/>
  <c r="I64" i="206"/>
  <c r="I66" i="206"/>
  <c r="I69" i="206"/>
  <c r="I58" i="206"/>
  <c r="I62" i="206" s="1"/>
  <c r="I42" i="206"/>
  <c r="I56" i="206" s="1"/>
  <c r="I35" i="206"/>
  <c r="I37" i="206"/>
  <c r="I29" i="206"/>
  <c r="I30" i="206"/>
  <c r="I27" i="206"/>
  <c r="I21" i="206"/>
  <c r="I22" i="206"/>
  <c r="I9" i="206"/>
  <c r="I10" i="206"/>
  <c r="I13" i="206"/>
  <c r="M9" i="205"/>
  <c r="I93" i="205"/>
  <c r="I90" i="205"/>
  <c r="I89" i="205"/>
  <c r="I91" i="205" s="1"/>
  <c r="M88" i="205"/>
  <c r="I85" i="205"/>
  <c r="I86" i="205" s="1"/>
  <c r="I75" i="205"/>
  <c r="I74" i="205"/>
  <c r="I70" i="205"/>
  <c r="I71" i="205"/>
  <c r="I69" i="205"/>
  <c r="I66" i="205"/>
  <c r="I60" i="205"/>
  <c r="K60" i="205" s="1"/>
  <c r="L60" i="205" s="1"/>
  <c r="I59" i="205"/>
  <c r="I17" i="205"/>
  <c r="I11" i="205"/>
  <c r="I12" i="205"/>
  <c r="I86" i="206" l="1"/>
  <c r="I127" i="206"/>
  <c r="I40" i="206"/>
  <c r="I16" i="206"/>
  <c r="I25" i="206"/>
  <c r="I103" i="206"/>
  <c r="I33" i="206"/>
  <c r="I120" i="206"/>
  <c r="I74" i="206"/>
  <c r="I64" i="205"/>
  <c r="I31" i="208"/>
  <c r="I72" i="205"/>
  <c r="I14" i="205"/>
  <c r="I76" i="205"/>
  <c r="J58" i="206"/>
  <c r="J62" i="206" s="1"/>
  <c r="J42" i="206"/>
  <c r="J56" i="206" s="1"/>
  <c r="K16" i="205"/>
  <c r="L16" i="205" s="1"/>
  <c r="J16" i="205"/>
  <c r="J119" i="206"/>
  <c r="M119" i="206" s="1"/>
  <c r="K85" i="205"/>
  <c r="L85" i="205" s="1"/>
  <c r="J85" i="205"/>
  <c r="K66" i="205"/>
  <c r="L66" i="205" s="1"/>
  <c r="J66" i="205"/>
  <c r="J82" i="206"/>
  <c r="M82" i="206" s="1"/>
  <c r="J81" i="206"/>
  <c r="M81" i="206" s="1"/>
  <c r="J95" i="206"/>
  <c r="M95" i="206" s="1"/>
  <c r="J114" i="206"/>
  <c r="M114" i="206" s="1"/>
  <c r="J122" i="206"/>
  <c r="J14" i="208"/>
  <c r="K14" i="208"/>
  <c r="L14" i="208" s="1"/>
  <c r="J99" i="206"/>
  <c r="M99" i="206" s="1"/>
  <c r="K59" i="205"/>
  <c r="L59" i="205" s="1"/>
  <c r="J59" i="205"/>
  <c r="J80" i="206"/>
  <c r="J106" i="206"/>
  <c r="J89" i="205"/>
  <c r="J35" i="206"/>
  <c r="J96" i="206"/>
  <c r="M96" i="206" s="1"/>
  <c r="J116" i="206"/>
  <c r="M116" i="206" s="1"/>
  <c r="K69" i="205"/>
  <c r="L69" i="205" s="1"/>
  <c r="J69" i="205"/>
  <c r="J71" i="205"/>
  <c r="M71" i="205" s="1"/>
  <c r="K131" i="206"/>
  <c r="L131" i="206" s="1"/>
  <c r="J131" i="206"/>
  <c r="J85" i="206"/>
  <c r="M85" i="206" s="1"/>
  <c r="J112" i="206"/>
  <c r="M112" i="206" s="1"/>
  <c r="K13" i="208"/>
  <c r="L13" i="208" s="1"/>
  <c r="J13" i="208"/>
  <c r="J12" i="205"/>
  <c r="M12" i="205" s="1"/>
  <c r="J70" i="205"/>
  <c r="M70" i="205" s="1"/>
  <c r="J30" i="206"/>
  <c r="M30" i="206" s="1"/>
  <c r="J69" i="206"/>
  <c r="M69" i="206" s="1"/>
  <c r="J88" i="206"/>
  <c r="M88" i="206" s="1"/>
  <c r="J91" i="206"/>
  <c r="K91" i="206"/>
  <c r="J130" i="206"/>
  <c r="M130" i="206" s="1"/>
  <c r="K12" i="208"/>
  <c r="L12" i="208" s="1"/>
  <c r="J12" i="208"/>
  <c r="J75" i="205"/>
  <c r="M75" i="205" s="1"/>
  <c r="J10" i="206"/>
  <c r="M10" i="206" s="1"/>
  <c r="J19" i="208"/>
  <c r="K19" i="208"/>
  <c r="L19" i="208" s="1"/>
  <c r="K22" i="206"/>
  <c r="L22" i="206" s="1"/>
  <c r="J22" i="206"/>
  <c r="J123" i="206"/>
  <c r="M123" i="206" s="1"/>
  <c r="K90" i="205"/>
  <c r="L90" i="205" s="1"/>
  <c r="J90" i="205"/>
  <c r="K21" i="206"/>
  <c r="J21" i="206"/>
  <c r="K93" i="205"/>
  <c r="L93" i="205" s="1"/>
  <c r="J93" i="205"/>
  <c r="K27" i="206"/>
  <c r="J27" i="206"/>
  <c r="K11" i="205"/>
  <c r="K14" i="205" s="1"/>
  <c r="J11" i="205"/>
  <c r="K74" i="205"/>
  <c r="L74" i="205" s="1"/>
  <c r="J74" i="205"/>
  <c r="J29" i="206"/>
  <c r="M29" i="206" s="1"/>
  <c r="J66" i="206"/>
  <c r="M66" i="206" s="1"/>
  <c r="J100" i="206"/>
  <c r="M100" i="206" s="1"/>
  <c r="J90" i="206"/>
  <c r="M90" i="206" s="1"/>
  <c r="J108" i="206"/>
  <c r="M108" i="206" s="1"/>
  <c r="K10" i="208"/>
  <c r="L10" i="208" s="1"/>
  <c r="J10" i="208"/>
  <c r="J13" i="206"/>
  <c r="M13" i="206" s="1"/>
  <c r="K8" i="206"/>
  <c r="J8" i="206"/>
  <c r="K9" i="208"/>
  <c r="J9" i="208"/>
  <c r="K64" i="206"/>
  <c r="K74" i="206" s="1"/>
  <c r="J64" i="206"/>
  <c r="J107" i="206"/>
  <c r="M107" i="206" s="1"/>
  <c r="J37" i="206"/>
  <c r="M37" i="206" s="1"/>
  <c r="J118" i="206"/>
  <c r="M118" i="206" s="1"/>
  <c r="J60" i="205"/>
  <c r="M60" i="205" s="1"/>
  <c r="K9" i="206"/>
  <c r="L9" i="206" s="1"/>
  <c r="J9" i="206"/>
  <c r="J83" i="206"/>
  <c r="M83" i="206" s="1"/>
  <c r="J97" i="206"/>
  <c r="M97" i="206" s="1"/>
  <c r="J117" i="206"/>
  <c r="M117" i="206" s="1"/>
  <c r="J125" i="206"/>
  <c r="K15" i="208"/>
  <c r="L15" i="208" s="1"/>
  <c r="J15" i="208"/>
  <c r="J38" i="205"/>
  <c r="L38" i="205"/>
  <c r="L46" i="205"/>
  <c r="J46" i="205"/>
  <c r="I67" i="205"/>
  <c r="J50" i="205"/>
  <c r="I94" i="205"/>
  <c r="J14" i="205" l="1"/>
  <c r="J31" i="208"/>
  <c r="L9" i="208"/>
  <c r="L31" i="208" s="1"/>
  <c r="K31" i="208"/>
  <c r="J25" i="206"/>
  <c r="M125" i="206"/>
  <c r="J127" i="206"/>
  <c r="M10" i="208"/>
  <c r="K25" i="206"/>
  <c r="M42" i="206"/>
  <c r="M56" i="206" s="1"/>
  <c r="M58" i="206"/>
  <c r="M62" i="206" s="1"/>
  <c r="J40" i="206"/>
  <c r="J16" i="206"/>
  <c r="K16" i="206"/>
  <c r="J74" i="206"/>
  <c r="J76" i="205"/>
  <c r="J72" i="205"/>
  <c r="M74" i="205"/>
  <c r="M76" i="205" s="1"/>
  <c r="L11" i="205"/>
  <c r="L14" i="205" s="1"/>
  <c r="M90" i="205"/>
  <c r="M14" i="208"/>
  <c r="M93" i="205"/>
  <c r="M94" i="205" s="1"/>
  <c r="M59" i="205"/>
  <c r="M64" i="205" s="1"/>
  <c r="M19" i="208"/>
  <c r="M16" i="205"/>
  <c r="M15" i="208"/>
  <c r="M69" i="205"/>
  <c r="M72" i="205" s="1"/>
  <c r="M85" i="205"/>
  <c r="M86" i="205" s="1"/>
  <c r="M131" i="206"/>
  <c r="J91" i="205"/>
  <c r="M9" i="206"/>
  <c r="M9" i="208"/>
  <c r="M40" i="208" s="1"/>
  <c r="M66" i="205"/>
  <c r="M67" i="205" s="1"/>
  <c r="M22" i="206"/>
  <c r="M89" i="205"/>
  <c r="J120" i="206"/>
  <c r="J64" i="205"/>
  <c r="M13" i="208"/>
  <c r="M106" i="206"/>
  <c r="M120" i="206" s="1"/>
  <c r="L21" i="206"/>
  <c r="L25" i="206" s="1"/>
  <c r="L91" i="206"/>
  <c r="K103" i="206"/>
  <c r="J86" i="206"/>
  <c r="L8" i="206"/>
  <c r="L16" i="206" s="1"/>
  <c r="J33" i="206"/>
  <c r="M80" i="206"/>
  <c r="M86" i="206" s="1"/>
  <c r="L27" i="206"/>
  <c r="K33" i="206"/>
  <c r="L64" i="206"/>
  <c r="L74" i="206" s="1"/>
  <c r="M12" i="208"/>
  <c r="J103" i="206"/>
  <c r="M35" i="206"/>
  <c r="M40" i="206" s="1"/>
  <c r="M122" i="206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42" i="208" l="1"/>
  <c r="M17" i="205"/>
  <c r="M127" i="206"/>
  <c r="M31" i="208"/>
  <c r="M91" i="205"/>
  <c r="M11" i="205"/>
  <c r="M21" i="206"/>
  <c r="L33" i="206"/>
  <c r="M27" i="206"/>
  <c r="M33" i="206" s="1"/>
  <c r="M8" i="206"/>
  <c r="L103" i="206"/>
  <c r="M91" i="206"/>
  <c r="M103" i="206" s="1"/>
  <c r="M64" i="206"/>
  <c r="M74" i="206" s="1"/>
  <c r="K21" i="205"/>
  <c r="K67" i="205"/>
  <c r="K94" i="205"/>
  <c r="K86" i="205"/>
  <c r="K17" i="205"/>
  <c r="I100" i="205"/>
  <c r="M25" i="206" l="1"/>
  <c r="L153" i="206"/>
  <c r="M14" i="205"/>
  <c r="M16" i="206"/>
  <c r="M43" i="208"/>
  <c r="M45" i="208" s="1"/>
  <c r="J100" i="205"/>
  <c r="J101" i="205" s="1"/>
  <c r="K100" i="205"/>
  <c r="L100" i="205" s="1"/>
  <c r="L101" i="205" s="1"/>
  <c r="J53" i="205"/>
  <c r="L53" i="205"/>
  <c r="M100" i="205" l="1"/>
  <c r="M113" i="205" s="1"/>
  <c r="K101" i="205"/>
  <c r="K53" i="205"/>
  <c r="N103" i="205"/>
  <c r="M101" i="205" l="1"/>
  <c r="I101" i="205"/>
  <c r="N42" i="210" l="1"/>
  <c r="I53" i="205"/>
  <c r="D55" i="2"/>
  <c r="D58" i="2"/>
  <c r="D56" i="2"/>
  <c r="D54" i="2"/>
  <c r="D57" i="2"/>
  <c r="D60" i="2"/>
  <c r="D63" i="2"/>
  <c r="D62" i="2"/>
  <c r="D61" i="2"/>
  <c r="D59" i="2"/>
  <c r="D53" i="2"/>
  <c r="I8" i="207" l="1"/>
  <c r="I35" i="207" s="1"/>
  <c r="K8" i="207" l="1"/>
  <c r="K35" i="207" s="1"/>
  <c r="J8" i="207"/>
  <c r="J35" i="207" s="1"/>
  <c r="L8" i="207" l="1"/>
  <c r="L35" i="207" s="1"/>
  <c r="K55" i="205"/>
  <c r="I55" i="205"/>
  <c r="I56" i="205" s="1"/>
  <c r="I103" i="205" s="1"/>
  <c r="M8" i="207" l="1"/>
  <c r="M44" i="207" s="1"/>
  <c r="K56" i="205"/>
  <c r="K103" i="205" s="1"/>
  <c r="L55" i="205"/>
  <c r="L56" i="205" s="1"/>
  <c r="L103" i="205" s="1"/>
  <c r="J55" i="205"/>
  <c r="J56" i="205" s="1"/>
  <c r="J103" i="205" s="1"/>
  <c r="M47" i="207" l="1"/>
  <c r="M35" i="207"/>
  <c r="M55" i="205"/>
  <c r="M112" i="205" s="1"/>
  <c r="E42" i="210" l="1"/>
  <c r="M49" i="207"/>
  <c r="M56" i="205"/>
  <c r="M103" i="205" s="1"/>
  <c r="M114" i="205"/>
  <c r="M116" i="205" l="1"/>
  <c r="K132" i="206"/>
  <c r="L132" i="206" s="1"/>
  <c r="L133" i="206" s="1"/>
  <c r="L141" i="206" s="1"/>
  <c r="I132" i="206"/>
  <c r="I133" i="206" s="1"/>
  <c r="I141" i="206" l="1"/>
  <c r="J132" i="206"/>
  <c r="J133" i="206" s="1"/>
  <c r="J141" i="206" s="1"/>
  <c r="K133" i="206"/>
  <c r="K141" i="206" s="1"/>
  <c r="M132" i="206" l="1"/>
  <c r="L152" i="206" s="1"/>
  <c r="M133" i="206" l="1"/>
  <c r="M141" i="206" s="1"/>
  <c r="L154" i="206"/>
  <c r="E40" i="210" s="1"/>
  <c r="E44" i="210" l="1"/>
  <c r="L156" i="206"/>
  <c r="N40" i="210"/>
  <c r="N44" i="210" s="1"/>
</calcChain>
</file>

<file path=xl/sharedStrings.xml><?xml version="1.0" encoding="utf-8"?>
<sst xmlns="http://schemas.openxmlformats.org/spreadsheetml/2006/main" count="949" uniqueCount="492">
  <si>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</si>
  <si>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</si>
  <si>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</si>
  <si>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</si>
  <si>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</si>
  <si>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</si>
  <si>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</si>
  <si>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</si>
  <si>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</si>
  <si>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</si>
  <si>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</si>
  <si>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</si>
  <si>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</si>
  <si>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</si>
  <si>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</si>
  <si>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</si>
  <si>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</si>
  <si>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</si>
  <si>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</si>
  <si>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</si>
  <si>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</si>
  <si>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</si>
  <si>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</si>
  <si>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</si>
  <si>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</si>
  <si>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</si>
  <si>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 xml:space="preserve">                                     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</si>
  <si>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</si>
  <si>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</si>
  <si>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</si>
  <si>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</si>
  <si>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</si>
  <si>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</si>
  <si>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</si>
  <si>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</si>
  <si>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</si>
  <si>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</si>
  <si>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</si>
  <si>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</si>
  <si>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</si>
  <si>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</si>
  <si>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</si>
  <si>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</si>
  <si>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</si>
  <si>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</si>
  <si>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</si>
  <si>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</si>
  <si>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</si>
  <si>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</si>
  <si>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</si>
  <si>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</si>
  <si>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</si>
  <si>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</si>
  <si>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</si>
  <si>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</si>
  <si>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</si>
  <si>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</si>
  <si>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</si>
  <si>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</si>
  <si>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</si>
  <si>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</si>
  <si>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</si>
  <si>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</si>
  <si>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</si>
  <si>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</si>
  <si>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</si>
  <si>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</si>
  <si>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</si>
  <si>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</si>
  <si>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</si>
  <si>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Policía de Línea</t>
  </si>
  <si>
    <t>Barrendera</t>
  </si>
  <si>
    <t>Enc. Jardines</t>
  </si>
  <si>
    <t>Enc. De bomba</t>
  </si>
  <si>
    <t>Enc bomba Chora</t>
  </si>
  <si>
    <t>Médico Municipal</t>
  </si>
  <si>
    <t>SISTEMAS</t>
  </si>
  <si>
    <t>J. Jesús Sánchez</t>
  </si>
  <si>
    <t>DEPORTES</t>
  </si>
  <si>
    <t>PROM. ECONOMICA Y PART. CIUDADANA</t>
  </si>
  <si>
    <t>Regidor</t>
  </si>
  <si>
    <t>Síndico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</si>
  <si>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</si>
  <si>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</si>
  <si>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</si>
  <si>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</si>
  <si>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</si>
  <si>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</si>
  <si>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</si>
  <si>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Paramédico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</si>
  <si>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</si>
  <si>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</si>
  <si>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</si>
  <si>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</si>
  <si>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</si>
  <si>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</si>
  <si>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</si>
  <si>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</si>
  <si>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</si>
  <si>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</si>
  <si>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</si>
  <si>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</si>
  <si>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</si>
  <si>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</si>
  <si>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</si>
  <si>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</si>
  <si>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</si>
  <si>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</si>
  <si>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</si>
  <si>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</si>
  <si>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</si>
  <si>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</si>
  <si>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</si>
  <si>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</si>
  <si>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</si>
  <si>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</si>
  <si>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</si>
  <si>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</si>
  <si>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</si>
  <si>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</si>
  <si>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</si>
  <si>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</si>
  <si>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</si>
  <si>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</si>
  <si>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</si>
  <si>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</si>
  <si>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</si>
  <si>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</si>
  <si>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</si>
  <si>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</si>
  <si>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</si>
  <si>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</si>
  <si>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</si>
  <si>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</si>
  <si>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</si>
  <si>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Secretario General</t>
  </si>
  <si>
    <t>Agente DARE</t>
  </si>
  <si>
    <t>Raúl Camberos Pizano</t>
  </si>
  <si>
    <t>APOYOS A INSTITUCIONES DE SALUD</t>
  </si>
  <si>
    <t>Aseo Centro de Salud Lucio Blanco</t>
  </si>
  <si>
    <t>Juana Salazar Flores</t>
  </si>
  <si>
    <t xml:space="preserve">Paramédico 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</si>
  <si>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</si>
  <si>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</si>
  <si>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</si>
  <si>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</si>
  <si>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</si>
  <si>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</si>
  <si>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</si>
  <si>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</si>
  <si>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</si>
  <si>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</si>
  <si>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</si>
  <si>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          C. D. José Ascensión Murguía Santiago</t>
  </si>
  <si>
    <t xml:space="preserve"> Afanadora Kínder Lucio Blanco</t>
  </si>
  <si>
    <t>Aux. Kínder Lucio Blanco</t>
  </si>
  <si>
    <t xml:space="preserve"> PRESIDENTE MUNICIPAL</t>
  </si>
  <si>
    <t xml:space="preserve">Tonantzin Selene Moya Márquez </t>
  </si>
  <si>
    <t xml:space="preserve">Osvaldo Eliu Reyes Tapia </t>
  </si>
  <si>
    <t xml:space="preserve">Alfonso Chavez Saavedra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</si>
  <si>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</si>
  <si>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</si>
  <si>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</si>
  <si>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</si>
  <si>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</si>
  <si>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</si>
  <si>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</si>
  <si>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Aux. Kinder Tehozitan</t>
  </si>
  <si>
    <t>Mtto. del campo de futbol La estanzuela</t>
  </si>
  <si>
    <t>Roberto Morán Rodríguez</t>
  </si>
  <si>
    <t>Salvador Santillan Partida</t>
  </si>
  <si>
    <t>Luis Octavio García Grajeda</t>
  </si>
  <si>
    <t>Luis Angel Tamayo Guillen</t>
  </si>
  <si>
    <t>Jose de Jesús Gallo Torres</t>
  </si>
  <si>
    <t>REGISTRO CIVIL</t>
  </si>
  <si>
    <t>SEGURIDAD PUBLICA</t>
  </si>
  <si>
    <t>Román Murguía Rojas</t>
  </si>
  <si>
    <t>Irma Cecilia Fernandez Hernandez</t>
  </si>
  <si>
    <t>Capturista</t>
  </si>
  <si>
    <t>Asistente Administrativa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</si>
  <si>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</si>
  <si>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</si>
  <si>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</si>
  <si>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</si>
  <si>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Martin Rafael Quiroz Vazquez</t>
  </si>
  <si>
    <t>Bombero BRAC</t>
  </si>
  <si>
    <t>Rigoberto Gonzalez Romero</t>
  </si>
  <si>
    <t>Antonia Vizcarra Hernandez</t>
  </si>
  <si>
    <t>Sub-Comisario</t>
  </si>
  <si>
    <t>Edgar Omar Lara Muñoz</t>
  </si>
  <si>
    <t>Juana Mendoza Moran</t>
  </si>
  <si>
    <t>Directora</t>
  </si>
  <si>
    <t>Comandante Operativo</t>
  </si>
  <si>
    <t>Ma. Del Carmen Solorzano Bautista</t>
  </si>
  <si>
    <t>Ma. de Jesús Contreras Lomelí</t>
  </si>
  <si>
    <t>Berenice Silva Zepeda</t>
  </si>
  <si>
    <t>Diego Antonio Moreno Maldonado</t>
  </si>
  <si>
    <t>Jose Refugio Carmona Martinez</t>
  </si>
  <si>
    <t>Jose Luis  Mendez Hernandez</t>
  </si>
  <si>
    <t>Fernando Fuentes Gonzalez</t>
  </si>
  <si>
    <t>Alexis Salvador Barajas Becerra</t>
  </si>
  <si>
    <t>Edgar Ulises Sandoval Bautista</t>
  </si>
  <si>
    <t>Abraham Horacio Campante Viorato</t>
  </si>
  <si>
    <t>Sandra Griselda Maldonado Gómez</t>
  </si>
  <si>
    <t>Jorge Leonardo Castro Garagarza</t>
  </si>
  <si>
    <t>Rosalio Siordia Flores</t>
  </si>
  <si>
    <t>Cristian Alexis Basilio Tapia</t>
  </si>
  <si>
    <t>Ma. Nancy Lucrecia Gallegos Alvarez</t>
  </si>
  <si>
    <t>Jesús Durán Enríquez</t>
  </si>
  <si>
    <t>Isacc Lupercio Beas</t>
  </si>
  <si>
    <t>María Guadalupe Sierra Camarena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</si>
  <si>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</si>
  <si>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</si>
  <si>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</si>
  <si>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</si>
  <si>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</si>
  <si>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</si>
  <si>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</si>
  <si>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</si>
  <si>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</si>
  <si>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</si>
  <si>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</si>
  <si>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</si>
  <si>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</si>
  <si>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</si>
  <si>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</si>
  <si>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</si>
  <si>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</si>
  <si>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</si>
  <si>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</si>
  <si>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</si>
  <si>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</si>
  <si>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</si>
  <si>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</si>
  <si>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</si>
  <si>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</si>
  <si>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</si>
  <si>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Martha Gpe. Gómez Sánchez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</si>
  <si>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</si>
  <si>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</si>
  <si>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</si>
  <si>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</si>
  <si>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</si>
  <si>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</si>
  <si>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Ma. Gpe. Armenta Virgen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</si>
  <si>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</si>
  <si>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</si>
  <si>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</si>
  <si>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</si>
  <si>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</si>
  <si>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</si>
  <si>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</si>
  <si>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</si>
  <si>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</si>
  <si>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</si>
  <si>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</si>
  <si>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</si>
  <si>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</si>
  <si>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</si>
  <si>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 xml:space="preserve">Angelica Plasencia Ramirez </t>
  </si>
  <si>
    <t>Laura Elena Torres Ramirez</t>
  </si>
  <si>
    <t>Rosalba Márquez Camarena</t>
  </si>
  <si>
    <t>Rigoberto Santos Becerra</t>
  </si>
  <si>
    <t>Juan Carlos Saahugún Partida</t>
  </si>
  <si>
    <t>Luzvi Mireya Avalos Espinoza</t>
  </si>
  <si>
    <t>José de Jesús Venegas Rodríguez</t>
  </si>
  <si>
    <t>Adelaida Montes Barbosa</t>
  </si>
  <si>
    <t>Francisco Almaraz Magallon</t>
  </si>
  <si>
    <t>María Luisa Jiménez Virgen</t>
  </si>
  <si>
    <t>Margarita Gutiérrez Rizo</t>
  </si>
  <si>
    <t>Cipriano Blanco Candelario</t>
  </si>
  <si>
    <t>Abelino Rivera Hernández</t>
  </si>
  <si>
    <t>Juan Miguel Herrera Pérez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</si>
  <si>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</si>
  <si>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</si>
  <si>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</si>
  <si>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</si>
  <si>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</si>
  <si>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</si>
  <si>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</si>
  <si>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</si>
  <si>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María Elena Rodríguez Aldaz</t>
  </si>
  <si>
    <t>María Gpe. Hernández Gallegos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</si>
  <si>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</si>
  <si>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</si>
  <si>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</si>
  <si>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</si>
  <si>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</si>
  <si>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</si>
  <si>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</si>
  <si>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</si>
  <si>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</si>
  <si>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</si>
  <si>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</si>
  <si>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</si>
  <si>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</si>
  <si>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</si>
  <si>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</si>
  <si>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</si>
  <si>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Jessica Morán García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</si>
  <si>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</si>
  <si>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</si>
  <si>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</si>
  <si>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</si>
  <si>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</si>
  <si>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</si>
  <si>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</si>
  <si>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</si>
  <si>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</si>
  <si>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</si>
  <si>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</si>
  <si>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</si>
  <si>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</si>
  <si>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</si>
  <si>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</si>
  <si>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</si>
  <si>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</si>
  <si>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</si>
  <si>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</si>
  <si>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</si>
  <si>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</si>
  <si>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Lizbeth Oliva Flores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</si>
  <si>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</si>
  <si>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</si>
  <si>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</si>
  <si>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</si>
  <si>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</si>
  <si>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</si>
  <si>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</si>
  <si>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Andrés Hernández Torres</t>
  </si>
  <si>
    <t>Fernando Guadalupe Rodríguez Rosales</t>
  </si>
  <si>
    <t>Simón Alberto Lara Aguilera</t>
  </si>
  <si>
    <t>Juan Manuel Tortoledo González</t>
  </si>
  <si>
    <t>Alan Carrillo Estrada</t>
  </si>
  <si>
    <t>María Juana Romo Rodríguez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</si>
  <si>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</si>
  <si>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</si>
  <si>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</si>
  <si>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</si>
  <si>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</si>
  <si>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</si>
  <si>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>Lorena Torres Paredes</t>
  </si>
  <si>
    <t>Prudencio Aguayo Dueñas</t>
  </si>
  <si>
    <t>Laura Martínez Santiago</t>
  </si>
  <si>
    <t>Benjamin de Jesús Muñóz Cardona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</si>
  <si>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</si>
  <si>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</si>
  <si>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</si>
  <si>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</si>
  <si>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</si>
  <si>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</si>
  <si>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</si>
  <si>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</si>
  <si>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</si>
  <si>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</si>
  <si>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</si>
  <si>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</si>
  <si>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</si>
  <si>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</si>
  <si>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</si>
  <si>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</si>
  <si>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David Gonzalez Rosales</t>
  </si>
  <si>
    <t>Total Remunerac</t>
  </si>
  <si>
    <t>Puesto</t>
  </si>
  <si>
    <t>Curp</t>
  </si>
  <si>
    <t>Sueldo Quincenal</t>
  </si>
  <si>
    <t>Total Deducc.</t>
  </si>
  <si>
    <t>DIAS</t>
  </si>
  <si>
    <t>PERIODO DE PAGO:</t>
  </si>
  <si>
    <t>Sueldo Diario</t>
  </si>
  <si>
    <t>No.</t>
  </si>
  <si>
    <t>PRESIDENTE MUNICIPAL</t>
  </si>
  <si>
    <t>L.C.P. IRMA CECILIA FERNÁNDEZ HERNÁNDEZ</t>
  </si>
  <si>
    <t>ENC. DE LA HACIENDA PÚBLICA</t>
  </si>
  <si>
    <t>MUNICIPIO DE: TEUCHITLÁN JALISCO</t>
  </si>
  <si>
    <t>F  I  R  M  A</t>
  </si>
  <si>
    <t>F i r m a</t>
  </si>
  <si>
    <t>Total Remunerac.</t>
  </si>
  <si>
    <t>MUNICIPIO DE TEUCHITLAN JALISCO</t>
  </si>
  <si>
    <t xml:space="preserve">                                                        C.D. JOSÉ ASCENCIÓN MURGUIA SANTIAGO</t>
  </si>
  <si>
    <t>PROTECCION CIVIL</t>
  </si>
  <si>
    <t>PERSONAL DE BASE    (113)</t>
  </si>
  <si>
    <t>PERSONAL EVENTUAL:    (122)</t>
  </si>
  <si>
    <t xml:space="preserve">         D   I   E   T   A   S   (111)</t>
  </si>
  <si>
    <t>DIF</t>
  </si>
  <si>
    <t>TOTAL</t>
  </si>
  <si>
    <t>Noel Ramos Luna</t>
  </si>
  <si>
    <t>EJERCICIO 2023</t>
  </si>
  <si>
    <t>TABLAS PUBLICADAS EL 27 DE DICIEMBRE DE 2022</t>
  </si>
  <si>
    <t>TARIFAS VIGENTES 2023</t>
  </si>
  <si>
    <t>Subsidio al Empleo</t>
  </si>
  <si>
    <t>ISR Salarios</t>
  </si>
  <si>
    <t>DESARROLLO AGROPECUARIO</t>
  </si>
  <si>
    <t>C.D. JOSÉ ASCENCIÓN MURGUIA SANTIAGO</t>
  </si>
  <si>
    <t>José Ascención Murguía Santiago</t>
  </si>
  <si>
    <t xml:space="preserve">Francisco Moran Ballesteros 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</si>
  <si>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</si>
  <si>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</si>
  <si>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</si>
  <si>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</si>
  <si>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</si>
  <si>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</si>
  <si>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</si>
  <si>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</si>
  <si>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</si>
  <si>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</si>
  <si>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</si>
  <si>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</si>
  <si>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</si>
  <si>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</si>
  <si>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</si>
  <si>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</si>
  <si>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</si>
  <si>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</si>
  <si>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</si>
  <si>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</si>
  <si>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</si>
  <si>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</si>
  <si>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</si>
  <si>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</si>
  <si>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</si>
  <si>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</si>
  <si>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</si>
  <si>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</si>
  <si>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</si>
  <si>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</si>
  <si>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</si>
  <si>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</si>
  <si>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</si>
  <si>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</si>
  <si>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</si>
  <si>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</si>
  <si>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</si>
  <si>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</si>
  <si>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</si>
  <si>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</si>
  <si>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</si>
  <si>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>C.D. José Ascensión Murguía Santiago</t>
  </si>
  <si>
    <t xml:space="preserve">       ENC. DE LA HACIENDA PUBLICA</t>
  </si>
  <si>
    <t>TOTAL EFECTIVO</t>
  </si>
  <si>
    <t>TOTAL TARJETA</t>
  </si>
  <si>
    <t>SALARIOS TOTALES</t>
  </si>
  <si>
    <t>SALARIOS FORTA</t>
  </si>
  <si>
    <t>Monica Lizeth Moran Tapia</t>
  </si>
  <si>
    <t xml:space="preserve">  </t>
  </si>
  <si>
    <t>Angel Ricardo Medina Calvillo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</si>
  <si>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</si>
  <si>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</si>
  <si>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</si>
  <si>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</si>
  <si>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</si>
  <si>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</si>
  <si>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Jorge Oswaldo Becerra Gomez</t>
  </si>
  <si>
    <t>Salvador Alejandro Barajas Torres</t>
  </si>
  <si>
    <t>Recaudadora de Agua Potable</t>
  </si>
  <si>
    <t>Maria del Refugio Sanchez Ortega</t>
  </si>
  <si>
    <t>Sandra Alonso Hernandez</t>
  </si>
  <si>
    <t>José de Jesús Zepeda Sánchez</t>
  </si>
  <si>
    <t>Irene Oliva Reyes</t>
  </si>
  <si>
    <t>]</t>
  </si>
  <si>
    <t>Erica Daniela Plascencia Nava</t>
  </si>
  <si>
    <t>Jose Roman Trinidad Ramirez</t>
  </si>
  <si>
    <t>Alma Rosa Sanchez Ortega</t>
  </si>
  <si>
    <t>Cesar Ismael Sigala Garcia</t>
  </si>
  <si>
    <t>Jonatan Abraham Ruiz Rosales</t>
  </si>
  <si>
    <t>Imelda Virgen Perez</t>
  </si>
  <si>
    <t>Johnny Alberto Ramos Ureña</t>
  </si>
  <si>
    <t>Operador de Maquinaria</t>
  </si>
  <si>
    <t>Otras Deducciones</t>
  </si>
  <si>
    <t>Jose Luis Medina Hernandez</t>
  </si>
  <si>
    <t>Daniel Efrain Alvarez Torres</t>
  </si>
  <si>
    <t>Guadalupe del Consuelo Perez Mancillas</t>
  </si>
  <si>
    <t>Sara Noemi Lopez Ruvalcaba</t>
  </si>
  <si>
    <t>Jose Armando Ibarra Becerra</t>
  </si>
  <si>
    <t>Angel Gabriel Abundiz Hernandez</t>
  </si>
  <si>
    <t>Aldo Flores Bello</t>
  </si>
  <si>
    <t>Bartolome Ramon Ledezma Curiel</t>
  </si>
  <si>
    <t>Samantha Leon Lopez</t>
  </si>
  <si>
    <t>Luis Alberto Rivera Ulloa</t>
  </si>
  <si>
    <t>Gabriel Villalobos Moran</t>
  </si>
  <si>
    <t>Juan Diego Covarrubias Aceves</t>
  </si>
  <si>
    <t>Juan Alfredo Veliz Frias</t>
  </si>
  <si>
    <t>Sandra Yamary Anguiano Valdez</t>
  </si>
  <si>
    <t xml:space="preserve"> B</t>
  </si>
  <si>
    <t>Avelino Trigueros Salazar</t>
  </si>
  <si>
    <t>David Zarate Cardenas</t>
  </si>
  <si>
    <t xml:space="preserve">                                         PERIODO DE PAGO: PRIMERA QUINCENA DE SEPTIEMBRE DEL 2023</t>
  </si>
  <si>
    <t>NOMINA DEL 1 AL 15 DE SEPTIEMBRE DEL 2023</t>
  </si>
  <si>
    <t>NOMINA DEL 01 AL 15 DE SEPTIEMBRE DEL 2023</t>
  </si>
  <si>
    <t>PERIODO DE PAGO: PRIMERA QUINCENA DE SEPTIEMBRE DEL 2023</t>
  </si>
  <si>
    <t xml:space="preserve">PERIODO DE PAGO: PRIMERA QUINCENA DE SEPTIEMBRE DEL 2023 </t>
  </si>
  <si>
    <t>PRIMERA QUINCENA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</si>
</sst>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b/>
      <sz val="14"/>
      <name val="Bodoni MT Black"/>
      <family val="1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0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9" fillId="0" borderId="0" xfId="0" applyFont="1"/>
    <xf numFmtId="0" fontId="2" fillId="0" borderId="0" xfId="0" applyFont="1"/>
    <xf numFmtId="43" fontId="1" fillId="0" borderId="0" xfId="2" applyFont="1" applyProtection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vertical="center" wrapText="1"/>
    </xf>
    <xf numFmtId="2" fontId="1" fillId="0" borderId="0" xfId="0" applyNumberFormat="1" applyFont="1"/>
    <xf numFmtId="0" fontId="17" fillId="2" borderId="0" xfId="0" applyFont="1" applyFill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  <protection locked="0"/>
    </xf>
    <xf numFmtId="165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19" fillId="0" borderId="4" xfId="0" applyFont="1" applyBorder="1" applyAlignment="1" applyProtection="1">
      <alignment horizontal="center" vertical="center"/>
      <protection locked="0"/>
    </xf>
    <xf numFmtId="165" fontId="19" fillId="0" borderId="4" xfId="2" applyNumberFormat="1" applyFont="1" applyFill="1" applyBorder="1" applyAlignment="1" applyProtection="1">
      <alignment horizontal="center" vertical="center"/>
    </xf>
    <xf numFmtId="165" fontId="19" fillId="0" borderId="4" xfId="2" applyNumberFormat="1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" fontId="20" fillId="0" borderId="0" xfId="2" applyNumberFormat="1" applyFont="1" applyFill="1" applyBorder="1" applyAlignment="1" applyProtection="1">
      <alignment horizontal="center" vertical="center"/>
    </xf>
    <xf numFmtId="165" fontId="20" fillId="0" borderId="6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wrapText="1"/>
    </xf>
    <xf numFmtId="0" fontId="1" fillId="3" borderId="0" xfId="0" applyFont="1" applyFill="1"/>
    <xf numFmtId="43" fontId="1" fillId="3" borderId="0" xfId="2" applyFont="1" applyFill="1" applyProtection="1"/>
    <xf numFmtId="0" fontId="17" fillId="3" borderId="0" xfId="0" applyFont="1" applyFill="1"/>
    <xf numFmtId="43" fontId="17" fillId="3" borderId="0" xfId="2" applyFont="1" applyFill="1" applyProtection="1"/>
    <xf numFmtId="0" fontId="1" fillId="0" borderId="4" xfId="0" applyFont="1" applyBorder="1" applyAlignment="1" applyProtection="1">
      <alignment horizontal="center"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4" xfId="2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 wrapText="1"/>
    </xf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20" fillId="0" borderId="0" xfId="2" applyFont="1" applyFill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 applyAlignment="1">
      <alignment vertical="center" wrapText="1"/>
    </xf>
    <xf numFmtId="0" fontId="1" fillId="0" borderId="17" xfId="0" applyFont="1" applyBorder="1"/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43" fontId="20" fillId="0" borderId="14" xfId="2" applyFont="1" applyBorder="1" applyAlignment="1" applyProtection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165" fontId="1" fillId="0" borderId="27" xfId="2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20" fillId="0" borderId="32" xfId="2" applyFont="1" applyBorder="1" applyAlignment="1" applyProtection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33" xfId="0" applyFont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2" fontId="1" fillId="0" borderId="16" xfId="0" applyNumberFormat="1" applyFont="1" applyBorder="1"/>
    <xf numFmtId="0" fontId="1" fillId="0" borderId="34" xfId="0" applyFont="1" applyBorder="1"/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left" vertical="center" wrapText="1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43" fontId="19" fillId="0" borderId="4" xfId="2" applyFont="1" applyFill="1" applyBorder="1" applyAlignment="1" applyProtection="1">
      <alignment horizontal="center" vertical="center" wrapText="1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left" vertical="center"/>
    </xf>
    <xf numFmtId="43" fontId="20" fillId="0" borderId="4" xfId="2" applyFont="1" applyFill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13" xfId="0" applyFont="1" applyBorder="1" applyAlignment="1">
      <alignment horizontal="left" vertical="center"/>
    </xf>
    <xf numFmtId="43" fontId="20" fillId="0" borderId="4" xfId="2" applyFont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2" fontId="20" fillId="4" borderId="3" xfId="0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165" fontId="19" fillId="0" borderId="27" xfId="2" applyNumberFormat="1" applyFont="1" applyFill="1" applyBorder="1" applyAlignment="1" applyProtection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43" fontId="20" fillId="0" borderId="27" xfId="2" applyFont="1" applyFill="1" applyBorder="1" applyAlignment="1" applyProtection="1">
      <alignment horizontal="center" vertical="center" wrapText="1"/>
    </xf>
    <xf numFmtId="43" fontId="19" fillId="0" borderId="27" xfId="2" applyFont="1" applyFill="1" applyBorder="1" applyAlignment="1" applyProtection="1">
      <alignment horizontal="center" vertical="center" wrapText="1"/>
    </xf>
    <xf numFmtId="43" fontId="20" fillId="0" borderId="29" xfId="2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3" fontId="20" fillId="0" borderId="0" xfId="2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3" fontId="20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9" xfId="0" applyFont="1" applyFill="1" applyBorder="1" applyAlignment="1">
      <alignment horizontal="center" vertical="center" wrapText="1"/>
    </xf>
    <xf numFmtId="43" fontId="3" fillId="0" borderId="27" xfId="2" applyFont="1" applyFill="1" applyBorder="1" applyAlignment="1" applyProtection="1">
      <alignment horizontal="center" vertical="center"/>
      <protection locked="0"/>
    </xf>
    <xf numFmtId="43" fontId="9" fillId="0" borderId="27" xfId="2" applyFont="1" applyFill="1" applyBorder="1" applyAlignment="1" applyProtection="1">
      <alignment horizontal="center" vertical="center"/>
    </xf>
    <xf numFmtId="165" fontId="3" fillId="0" borderId="27" xfId="2" applyNumberFormat="1" applyFont="1" applyFill="1" applyBorder="1" applyAlignment="1" applyProtection="1">
      <alignment horizontal="center" vertical="center"/>
      <protection locked="0"/>
    </xf>
    <xf numFmtId="165" fontId="20" fillId="0" borderId="23" xfId="2" applyNumberFormat="1" applyFont="1" applyFill="1" applyBorder="1" applyAlignment="1" applyProtection="1">
      <alignment horizontal="center" vertical="center"/>
    </xf>
    <xf numFmtId="0" fontId="19" fillId="0" borderId="23" xfId="0" applyFont="1" applyBorder="1"/>
    <xf numFmtId="0" fontId="19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5" fontId="19" fillId="0" borderId="27" xfId="2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1" fontId="20" fillId="0" borderId="23" xfId="2" applyNumberFormat="1" applyFont="1" applyFill="1" applyBorder="1" applyAlignment="1" applyProtection="1">
      <alignment horizontal="center" vertical="center"/>
    </xf>
    <xf numFmtId="165" fontId="20" fillId="0" borderId="36" xfId="2" applyNumberFormat="1" applyFont="1" applyFill="1" applyBorder="1" applyAlignment="1" applyProtection="1">
      <alignment horizontal="center" vertical="center"/>
    </xf>
    <xf numFmtId="43" fontId="19" fillId="0" borderId="0" xfId="2" applyFont="1" applyBorder="1" applyAlignment="1">
      <alignment horizontal="center" vertical="center"/>
    </xf>
    <xf numFmtId="165" fontId="19" fillId="0" borderId="23" xfId="0" applyNumberFormat="1" applyFont="1" applyBorder="1" applyAlignment="1">
      <alignment horizontal="center" vertical="center"/>
    </xf>
    <xf numFmtId="0" fontId="17" fillId="0" borderId="22" xfId="0" applyFont="1" applyBorder="1"/>
    <xf numFmtId="165" fontId="19" fillId="0" borderId="0" xfId="0" applyNumberFormat="1" applyFont="1"/>
    <xf numFmtId="0" fontId="5" fillId="0" borderId="0" xfId="0" applyFont="1" applyAlignment="1">
      <alignment horizontal="center" vertical="center"/>
    </xf>
    <xf numFmtId="165" fontId="2" fillId="0" borderId="27" xfId="2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>
      <alignment vertical="center"/>
    </xf>
    <xf numFmtId="165" fontId="19" fillId="0" borderId="23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43" fontId="19" fillId="0" borderId="23" xfId="2" applyFont="1" applyBorder="1" applyAlignment="1">
      <alignment vertical="center"/>
    </xf>
    <xf numFmtId="43" fontId="19" fillId="0" borderId="23" xfId="2" applyFont="1" applyBorder="1"/>
    <xf numFmtId="43" fontId="1" fillId="0" borderId="4" xfId="2" applyFont="1" applyFill="1" applyBorder="1" applyAlignment="1" applyProtection="1">
      <alignment horizontal="right" vertical="center"/>
    </xf>
    <xf numFmtId="43" fontId="1" fillId="0" borderId="4" xfId="2" applyFont="1" applyFill="1" applyBorder="1" applyAlignment="1" applyProtection="1">
      <alignment horizontal="right" vertical="center"/>
      <protection locked="0"/>
    </xf>
    <xf numFmtId="165" fontId="1" fillId="0" borderId="27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20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9" fillId="0" borderId="0" xfId="0" applyNumberFormat="1" applyFont="1"/>
    <xf numFmtId="2" fontId="19" fillId="0" borderId="0" xfId="0" applyNumberFormat="1" applyFont="1"/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>
      <alignment horizontal="left" vertical="center" wrapText="1"/>
    </xf>
    <xf numFmtId="165" fontId="19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9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19" fillId="0" borderId="17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2" fontId="20" fillId="4" borderId="4" xfId="0" applyNumberFormat="1" applyFont="1" applyFill="1" applyBorder="1" applyAlignment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2" fontId="19" fillId="0" borderId="4" xfId="2" applyNumberFormat="1" applyFont="1" applyFill="1" applyBorder="1" applyAlignment="1" applyProtection="1">
      <alignment horizontal="center" vertical="center"/>
      <protection locked="0"/>
    </xf>
    <xf numFmtId="2" fontId="20" fillId="0" borderId="0" xfId="2" applyNumberFormat="1" applyFont="1" applyFill="1" applyBorder="1" applyAlignment="1" applyProtection="1">
      <alignment horizontal="center" vertical="center"/>
    </xf>
    <xf numFmtId="2" fontId="20" fillId="0" borderId="6" xfId="2" applyNumberFormat="1" applyFont="1" applyFill="1" applyBorder="1" applyAlignment="1" applyProtection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8" fillId="0" borderId="0" xfId="0" applyFont="1"/>
    <xf numFmtId="165" fontId="1" fillId="0" borderId="37" xfId="2" applyNumberFormat="1" applyFont="1" applyFill="1" applyBorder="1" applyAlignment="1" applyProtection="1">
      <alignment horizontal="center"/>
    </xf>
    <xf numFmtId="166" fontId="1" fillId="0" borderId="37" xfId="2" applyNumberFormat="1" applyFont="1" applyFill="1" applyBorder="1" applyAlignment="1" applyProtection="1">
      <alignment horizontal="center"/>
      <protection locked="0"/>
    </xf>
    <xf numFmtId="165" fontId="1" fillId="0" borderId="37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7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31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43" fontId="1" fillId="0" borderId="0" xfId="0" applyNumberFormat="1" applyFont="1"/>
    <xf numFmtId="165" fontId="0" fillId="3" borderId="0" xfId="0" applyNumberFormat="1" applyFill="1"/>
    <xf numFmtId="2" fontId="20" fillId="0" borderId="14" xfId="2" applyNumberFormat="1" applyFont="1" applyBorder="1" applyAlignment="1" applyProtection="1">
      <alignment horizontal="center" vertical="center" wrapText="1"/>
    </xf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4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3" fontId="1" fillId="0" borderId="4" xfId="2" applyFont="1" applyFill="1" applyBorder="1" applyAlignment="1" applyProtection="1">
      <alignment horizontal="center" vertical="center" wrapText="1"/>
      <protection locked="0"/>
    </xf>
    <xf numFmtId="43" fontId="20" fillId="0" borderId="4" xfId="2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wrapText="1"/>
    </xf>
    <xf numFmtId="0" fontId="19" fillId="0" borderId="34" xfId="0" applyFont="1" applyBorder="1"/>
    <xf numFmtId="0" fontId="2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9" fillId="0" borderId="4" xfId="0" applyNumberFormat="1" applyFont="1" applyBorder="1" applyAlignment="1" applyProtection="1">
      <alignment horizontal="center" vertical="center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9" fillId="0" borderId="4" xfId="0" applyFont="1" applyBorder="1" applyAlignment="1">
      <alignment vertical="center"/>
    </xf>
    <xf numFmtId="43" fontId="3" fillId="0" borderId="0" xfId="0" applyNumberFormat="1" applyFont="1"/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0" fontId="20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0DBC4F-93D0-4695-868E-7C9891B93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682" y="403412"/>
          <a:ext cx="1515594" cy="1444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31" y="267419"/>
          <a:ext cx="1187225" cy="11315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99" y="273708"/>
          <a:ext cx="1178388" cy="111672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A6722-A48C-4222-884C-853E3AD1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17" y="266965"/>
          <a:ext cx="1187225" cy="1133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Nominas/Nominas%202022/DICIEMBRE/NOMINA%201RA%20DE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"/>
      <sheetName val="REGIDORES"/>
      <sheetName val="BASE"/>
      <sheetName val="EVENTUALES"/>
      <sheetName val="PENSIONADOS"/>
      <sheetName val="SEG. PUBLICA"/>
      <sheetName val="PROT.CIVIL"/>
      <sheetName val="Apoyos "/>
      <sheetName val="Calculo ISPT 2018 quince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Y17">
            <v>0.01</v>
          </cell>
          <cell r="Z17">
            <v>0</v>
          </cell>
          <cell r="AA17">
            <v>1.9199999999999998E-2</v>
          </cell>
          <cell r="AG17">
            <v>0.01</v>
          </cell>
          <cell r="AH17">
            <v>200.85</v>
          </cell>
        </row>
        <row r="18">
          <cell r="Y18">
            <v>318.01</v>
          </cell>
          <cell r="Z18">
            <v>6.15</v>
          </cell>
          <cell r="AA18">
            <v>6.4000000000000001E-2</v>
          </cell>
          <cell r="AG18">
            <v>872.86</v>
          </cell>
          <cell r="AH18">
            <v>200.7</v>
          </cell>
        </row>
        <row r="19">
          <cell r="Y19">
            <v>2699.41</v>
          </cell>
          <cell r="Z19">
            <v>158.55000000000001</v>
          </cell>
          <cell r="AA19">
            <v>0.10879999999999999</v>
          </cell>
          <cell r="AG19">
            <v>1309.21</v>
          </cell>
          <cell r="AH19">
            <v>200.7</v>
          </cell>
        </row>
        <row r="20">
          <cell r="Y20">
            <v>4744.0600000000004</v>
          </cell>
          <cell r="Z20">
            <v>381</v>
          </cell>
          <cell r="AA20">
            <v>0.16</v>
          </cell>
          <cell r="AG20">
            <v>1713.61</v>
          </cell>
          <cell r="AH20">
            <v>193.8</v>
          </cell>
        </row>
        <row r="21">
          <cell r="Y21">
            <v>5514.76</v>
          </cell>
          <cell r="Z21">
            <v>504.3</v>
          </cell>
          <cell r="AA21">
            <v>0.1792</v>
          </cell>
          <cell r="AG21">
            <v>1745.71</v>
          </cell>
          <cell r="AH21">
            <v>188.7</v>
          </cell>
        </row>
        <row r="22">
          <cell r="Y22">
            <v>6602.71</v>
          </cell>
          <cell r="Z22">
            <v>699.3</v>
          </cell>
          <cell r="AA22">
            <v>0.21360000000000001</v>
          </cell>
          <cell r="AG22">
            <v>2193.7600000000002</v>
          </cell>
          <cell r="AH22">
            <v>174.75</v>
          </cell>
        </row>
        <row r="23">
          <cell r="Y23">
            <v>13316.71</v>
          </cell>
          <cell r="Z23">
            <v>2133.3000000000002</v>
          </cell>
          <cell r="AA23">
            <v>0.23519999999999999</v>
          </cell>
          <cell r="AG23">
            <v>2327.56</v>
          </cell>
          <cell r="AH23">
            <v>160.35</v>
          </cell>
        </row>
        <row r="24">
          <cell r="Y24">
            <v>20988.91</v>
          </cell>
          <cell r="Z24">
            <v>3937.8</v>
          </cell>
          <cell r="AA24">
            <v>0.3</v>
          </cell>
          <cell r="AG24">
            <v>2632.66</v>
          </cell>
          <cell r="AH24">
            <v>145.35</v>
          </cell>
        </row>
        <row r="25">
          <cell r="Y25">
            <v>40071.31</v>
          </cell>
          <cell r="Z25">
            <v>9662.5499999999993</v>
          </cell>
          <cell r="AA25">
            <v>0.32</v>
          </cell>
          <cell r="AG25">
            <v>3071.41</v>
          </cell>
          <cell r="AH25">
            <v>125.1</v>
          </cell>
        </row>
        <row r="26">
          <cell r="Y26">
            <v>53428.51</v>
          </cell>
          <cell r="Z26">
            <v>13936.8</v>
          </cell>
          <cell r="AA26">
            <v>0.34</v>
          </cell>
          <cell r="AG26">
            <v>3510.16</v>
          </cell>
          <cell r="AH26">
            <v>107.4</v>
          </cell>
        </row>
        <row r="27">
          <cell r="Y27">
            <v>160285.35999999999</v>
          </cell>
          <cell r="Z27">
            <v>50268.15</v>
          </cell>
          <cell r="AA27">
            <v>0.35</v>
          </cell>
          <cell r="AG27">
            <v>3642.61</v>
          </cell>
          <cell r="AH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13" sqref="F13:G23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27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387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5" t="s">
        <v>4</v>
      </c>
      <c r="C7" s="375"/>
      <c r="D7" s="375"/>
      <c r="E7" s="8"/>
      <c r="F7" s="368" t="s">
        <v>19</v>
      </c>
      <c r="G7" s="369"/>
    </row>
    <row r="8" spans="1:7" ht="14.25" customHeight="1" x14ac:dyDescent="0.2">
      <c r="B8" s="372" t="s">
        <v>3</v>
      </c>
      <c r="C8" s="372"/>
      <c r="D8" s="372"/>
      <c r="E8" s="8"/>
      <c r="F8" s="373" t="s">
        <v>20</v>
      </c>
      <c r="G8" s="374"/>
    </row>
    <row r="9" spans="1:7" ht="8.25" customHeight="1" x14ac:dyDescent="0.2">
      <c r="B9" s="376"/>
      <c r="C9" s="376"/>
      <c r="D9" s="376"/>
      <c r="E9" s="8"/>
      <c r="F9" s="370"/>
      <c r="G9" s="371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388</v>
      </c>
      <c r="C34" s="8"/>
      <c r="D34" s="8"/>
    </row>
    <row r="35" spans="2:7" x14ac:dyDescent="0.2">
      <c r="B35" s="23" t="s">
        <v>389</v>
      </c>
      <c r="C35" s="8"/>
      <c r="D35" s="8"/>
    </row>
    <row r="44" spans="2:7" ht="17.25" customHeight="1" x14ac:dyDescent="0.2">
      <c r="B44" s="6" t="s">
        <v>18</v>
      </c>
      <c r="E44" s="8"/>
      <c r="F44" s="368" t="s">
        <v>23</v>
      </c>
      <c r="G44" s="369"/>
    </row>
    <row r="45" spans="2:7" x14ac:dyDescent="0.2">
      <c r="E45" s="8"/>
      <c r="F45" s="373" t="s">
        <v>24</v>
      </c>
      <c r="G45" s="374"/>
    </row>
    <row r="46" spans="2:7" ht="5.25" customHeight="1" x14ac:dyDescent="0.2">
      <c r="E46" s="8"/>
      <c r="F46" s="370"/>
      <c r="G46" s="371"/>
    </row>
    <row r="47" spans="2:7" x14ac:dyDescent="0.2">
      <c r="B47" s="375" t="s">
        <v>4</v>
      </c>
      <c r="C47" s="375"/>
      <c r="D47" s="375"/>
      <c r="E47" s="8"/>
      <c r="F47" s="10" t="s">
        <v>10</v>
      </c>
      <c r="G47" s="10" t="s">
        <v>11</v>
      </c>
    </row>
    <row r="48" spans="2:7" x14ac:dyDescent="0.2">
      <c r="B48" s="372" t="s">
        <v>3</v>
      </c>
      <c r="C48" s="372"/>
      <c r="D48" s="372"/>
      <c r="E48" s="8"/>
      <c r="F48" s="10"/>
      <c r="G48" s="10" t="s">
        <v>12</v>
      </c>
    </row>
    <row r="49" spans="2:7" x14ac:dyDescent="0.2">
      <c r="B49" s="376"/>
      <c r="C49" s="376"/>
      <c r="D49" s="376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4" customWidth="1"/>
    <col min="5" max="5" width="11.140625" style="5" bestFit="1" customWidth="1"/>
    <col min="6" max="6" width="22.42578125" style="5" customWidth="1"/>
    <col min="7" max="7" width="5.42578125" style="5" bestFit="1" customWidth="1"/>
    <col min="8" max="8" width="7.85546875" style="5" customWidth="1"/>
    <col min="9" max="9" width="11.42578125" style="35" customWidth="1"/>
    <col min="10" max="10" width="9.42578125" style="5" bestFit="1" customWidth="1"/>
    <col min="11" max="11" width="9.7109375" style="5" bestFit="1" customWidth="1"/>
    <col min="12" max="12" width="11.710937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116"/>
      <c r="C1" s="118"/>
      <c r="D1" s="117"/>
      <c r="E1" s="118"/>
      <c r="F1" s="118"/>
      <c r="G1" s="118"/>
      <c r="H1" s="118"/>
      <c r="I1" s="119"/>
      <c r="J1" s="118"/>
      <c r="K1" s="118"/>
      <c r="L1" s="118"/>
      <c r="M1" s="118"/>
      <c r="N1" s="118"/>
      <c r="O1" s="120"/>
    </row>
    <row r="2" spans="1:15" ht="18.75" x14ac:dyDescent="0.3">
      <c r="B2" s="121"/>
      <c r="C2" s="52"/>
      <c r="D2" s="107"/>
      <c r="E2" s="377" t="s">
        <v>374</v>
      </c>
      <c r="F2" s="377"/>
      <c r="G2" s="377"/>
      <c r="H2" s="377"/>
      <c r="I2" s="377"/>
      <c r="J2" s="377"/>
      <c r="K2" s="377"/>
      <c r="L2" s="377"/>
      <c r="M2" s="377"/>
      <c r="N2" s="377"/>
      <c r="O2" s="378"/>
    </row>
    <row r="3" spans="1:15" x14ac:dyDescent="0.2">
      <c r="B3" s="121"/>
      <c r="C3" s="52"/>
      <c r="D3" s="48"/>
      <c r="E3" s="52"/>
      <c r="F3" s="52"/>
      <c r="G3" s="52"/>
      <c r="H3" s="52"/>
      <c r="I3" s="109"/>
      <c r="J3" s="52"/>
      <c r="K3" s="52"/>
      <c r="L3" s="52"/>
      <c r="M3" s="52"/>
      <c r="N3" s="52"/>
      <c r="O3" s="129"/>
    </row>
    <row r="4" spans="1:15" ht="27.75" customHeight="1" x14ac:dyDescent="0.4">
      <c r="B4" s="121"/>
      <c r="C4" s="52"/>
      <c r="D4" s="48"/>
      <c r="E4" s="379"/>
      <c r="F4" s="379"/>
      <c r="G4" s="52"/>
      <c r="H4" s="52"/>
      <c r="I4" s="109"/>
      <c r="J4" s="52"/>
      <c r="K4" s="52"/>
      <c r="L4" s="52"/>
      <c r="M4" s="52"/>
      <c r="N4" s="52"/>
      <c r="O4" s="129"/>
    </row>
    <row r="5" spans="1:15" x14ac:dyDescent="0.2">
      <c r="B5" s="121"/>
      <c r="C5" s="52"/>
      <c r="D5" s="48"/>
      <c r="E5" s="52"/>
      <c r="F5" s="52"/>
      <c r="G5" s="52"/>
      <c r="H5" s="52"/>
      <c r="I5" s="109"/>
      <c r="J5" s="52"/>
      <c r="K5" s="52"/>
      <c r="L5" s="52"/>
      <c r="M5" s="52"/>
      <c r="N5" s="52"/>
      <c r="O5" s="129"/>
    </row>
    <row r="6" spans="1:15" ht="18" x14ac:dyDescent="0.2">
      <c r="B6" s="121"/>
      <c r="C6" s="52"/>
      <c r="D6" s="48"/>
      <c r="E6" s="52"/>
      <c r="F6" s="200" t="s">
        <v>383</v>
      </c>
      <c r="G6" s="52"/>
      <c r="H6" s="52"/>
      <c r="I6" s="109"/>
      <c r="J6" s="52"/>
      <c r="K6" s="52"/>
      <c r="L6" s="52"/>
      <c r="M6" s="52"/>
      <c r="N6" s="52"/>
      <c r="O6" s="129"/>
    </row>
    <row r="7" spans="1:15" x14ac:dyDescent="0.2">
      <c r="B7" s="121"/>
      <c r="C7" s="52"/>
      <c r="D7" s="48"/>
      <c r="E7" s="52"/>
      <c r="F7" s="52"/>
      <c r="G7" s="52"/>
      <c r="H7" s="52"/>
      <c r="I7" s="109"/>
      <c r="J7" s="52"/>
      <c r="K7" s="52"/>
      <c r="L7" s="52"/>
      <c r="M7" s="52"/>
      <c r="N7" s="52"/>
      <c r="O7" s="129"/>
    </row>
    <row r="8" spans="1:15" ht="30" customHeight="1" x14ac:dyDescent="0.2">
      <c r="B8" s="123"/>
      <c r="C8" s="290"/>
      <c r="D8" s="105"/>
      <c r="E8" s="110"/>
      <c r="F8" s="111" t="s">
        <v>368</v>
      </c>
      <c r="G8" s="384" t="s">
        <v>491</v>
      </c>
      <c r="H8" s="384"/>
      <c r="I8" s="384"/>
      <c r="J8" s="384"/>
      <c r="K8" s="384"/>
      <c r="L8" s="384"/>
      <c r="M8" s="384"/>
      <c r="N8" s="111"/>
      <c r="O8" s="130"/>
    </row>
    <row r="9" spans="1:15" s="27" customFormat="1" ht="38.25" x14ac:dyDescent="0.2">
      <c r="A9" s="5"/>
      <c r="B9" s="124" t="s">
        <v>370</v>
      </c>
      <c r="C9" s="291" t="s">
        <v>448</v>
      </c>
      <c r="D9" s="112" t="s">
        <v>14</v>
      </c>
      <c r="E9" s="112" t="s">
        <v>363</v>
      </c>
      <c r="F9" s="112" t="s">
        <v>364</v>
      </c>
      <c r="G9" s="112" t="s">
        <v>483</v>
      </c>
      <c r="H9" s="112" t="s">
        <v>369</v>
      </c>
      <c r="I9" s="113" t="s">
        <v>365</v>
      </c>
      <c r="J9" s="112" t="s">
        <v>390</v>
      </c>
      <c r="K9" s="112" t="s">
        <v>391</v>
      </c>
      <c r="L9" s="114" t="s">
        <v>468</v>
      </c>
      <c r="M9" s="114" t="s">
        <v>366</v>
      </c>
      <c r="N9" s="115" t="s">
        <v>362</v>
      </c>
      <c r="O9" s="131" t="s">
        <v>375</v>
      </c>
    </row>
    <row r="10" spans="1:15" s="30" customFormat="1" ht="30" customHeight="1" x14ac:dyDescent="0.2">
      <c r="A10" s="5"/>
      <c r="B10" s="125">
        <v>1</v>
      </c>
      <c r="C10" s="292" t="s">
        <v>448</v>
      </c>
      <c r="D10" s="100" t="s">
        <v>157</v>
      </c>
      <c r="E10" s="100" t="s">
        <v>80</v>
      </c>
      <c r="F10" s="100"/>
      <c r="G10" s="93">
        <v>15</v>
      </c>
      <c r="H10" s="94">
        <v>597.79999999999995</v>
      </c>
      <c r="I10" s="99">
        <f>ROUND(G10*H10,2)</f>
        <v>8967</v>
      </c>
      <c r="J10" s="218">
        <f t="shared" ref="J10:J19" si="0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218">
        <f t="shared" ref="K10:K19" si="1">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</f>
        <v>1092.33</v>
      </c>
      <c r="L10" s="365">
        <v>0</v>
      </c>
      <c r="M10" s="95">
        <f>K11+L10</f>
        <v>1092.33</v>
      </c>
      <c r="N10" s="108">
        <f>I10-M10</f>
        <v>7874.67</v>
      </c>
      <c r="O10" s="132"/>
    </row>
    <row r="11" spans="1:15" s="30" customFormat="1" ht="30" customHeight="1" x14ac:dyDescent="0.2">
      <c r="A11" s="5"/>
      <c r="B11" s="125">
        <v>2</v>
      </c>
      <c r="C11" s="292"/>
      <c r="D11" s="100" t="s">
        <v>158</v>
      </c>
      <c r="E11" s="100" t="s">
        <v>80</v>
      </c>
      <c r="F11" s="101"/>
      <c r="G11" s="93">
        <v>15</v>
      </c>
      <c r="H11" s="94">
        <v>597.79999999999995</v>
      </c>
      <c r="I11" s="99">
        <f t="shared" ref="I11:I19" si="2">ROUND(G11*H11,2)</f>
        <v>8967</v>
      </c>
      <c r="J11" s="218">
        <f t="shared" si="0"/>
        <v>0</v>
      </c>
      <c r="K11" s="218">
        <f t="shared" si="1"/>
        <v>1092.33</v>
      </c>
      <c r="L11" s="218">
        <v>0</v>
      </c>
      <c r="M11" s="95">
        <f>K11</f>
        <v>1092.33</v>
      </c>
      <c r="N11" s="108">
        <f>I11-M11</f>
        <v>7874.67</v>
      </c>
      <c r="O11" s="132"/>
    </row>
    <row r="12" spans="1:15" s="30" customFormat="1" ht="30" customHeight="1" x14ac:dyDescent="0.2">
      <c r="A12" s="5"/>
      <c r="B12" s="125">
        <v>3</v>
      </c>
      <c r="C12" s="292" t="s">
        <v>448</v>
      </c>
      <c r="D12" s="100" t="s">
        <v>159</v>
      </c>
      <c r="E12" s="100" t="s">
        <v>80</v>
      </c>
      <c r="F12" s="100"/>
      <c r="G12" s="93">
        <v>15</v>
      </c>
      <c r="H12" s="94">
        <v>597.79999999999995</v>
      </c>
      <c r="I12" s="293">
        <f t="shared" si="2"/>
        <v>8967</v>
      </c>
      <c r="J12" s="218">
        <f t="shared" si="0"/>
        <v>0</v>
      </c>
      <c r="K12" s="218">
        <f t="shared" si="1"/>
        <v>1092.33</v>
      </c>
      <c r="L12" s="218">
        <v>0</v>
      </c>
      <c r="M12" s="95">
        <f t="shared" ref="M12:M19" si="3">K12</f>
        <v>1092.33</v>
      </c>
      <c r="N12" s="108">
        <f t="shared" ref="N12:N19" si="4">I12-M12</f>
        <v>7874.67</v>
      </c>
      <c r="O12" s="132"/>
    </row>
    <row r="13" spans="1:15" s="30" customFormat="1" ht="30" customHeight="1" x14ac:dyDescent="0.2">
      <c r="A13" s="5"/>
      <c r="B13" s="125">
        <v>4</v>
      </c>
      <c r="C13" s="292"/>
      <c r="D13" s="100" t="s">
        <v>160</v>
      </c>
      <c r="E13" s="100" t="s">
        <v>80</v>
      </c>
      <c r="F13" s="100"/>
      <c r="G13" s="93">
        <v>15</v>
      </c>
      <c r="H13" s="94">
        <v>597.79999999999995</v>
      </c>
      <c r="I13" s="99">
        <f t="shared" si="2"/>
        <v>8967</v>
      </c>
      <c r="J13" s="218">
        <f t="shared" si="0"/>
        <v>0</v>
      </c>
      <c r="K13" s="218">
        <f t="shared" si="1"/>
        <v>1092.33</v>
      </c>
      <c r="L13" s="218">
        <v>0</v>
      </c>
      <c r="M13" s="95">
        <f t="shared" si="3"/>
        <v>1092.33</v>
      </c>
      <c r="N13" s="108">
        <f t="shared" si="4"/>
        <v>7874.67</v>
      </c>
      <c r="O13" s="132"/>
    </row>
    <row r="14" spans="1:15" s="30" customFormat="1" ht="30" customHeight="1" x14ac:dyDescent="0.2">
      <c r="A14" s="5"/>
      <c r="B14" s="125">
        <v>5</v>
      </c>
      <c r="C14" s="292"/>
      <c r="D14" s="100" t="s">
        <v>161</v>
      </c>
      <c r="E14" s="100" t="s">
        <v>80</v>
      </c>
      <c r="F14" s="100"/>
      <c r="G14" s="93">
        <v>15</v>
      </c>
      <c r="H14" s="94">
        <v>597.79999999999995</v>
      </c>
      <c r="I14" s="99">
        <f t="shared" si="2"/>
        <v>8967</v>
      </c>
      <c r="J14" s="218">
        <f t="shared" si="0"/>
        <v>0</v>
      </c>
      <c r="K14" s="218">
        <f t="shared" si="1"/>
        <v>1092.33</v>
      </c>
      <c r="L14" s="218">
        <v>0</v>
      </c>
      <c r="M14" s="95">
        <f t="shared" si="3"/>
        <v>1092.33</v>
      </c>
      <c r="N14" s="108">
        <f t="shared" si="4"/>
        <v>7874.67</v>
      </c>
      <c r="O14" s="132"/>
    </row>
    <row r="15" spans="1:15" s="30" customFormat="1" ht="30" customHeight="1" x14ac:dyDescent="0.2">
      <c r="A15" s="5"/>
      <c r="B15" s="125">
        <v>6</v>
      </c>
      <c r="C15" s="292"/>
      <c r="D15" s="100" t="s">
        <v>162</v>
      </c>
      <c r="E15" s="100" t="s">
        <v>80</v>
      </c>
      <c r="F15" s="100"/>
      <c r="G15" s="93">
        <v>15</v>
      </c>
      <c r="H15" s="94">
        <v>597.79999999999995</v>
      </c>
      <c r="I15" s="99">
        <f t="shared" si="2"/>
        <v>8967</v>
      </c>
      <c r="J15" s="218">
        <f t="shared" si="0"/>
        <v>0</v>
      </c>
      <c r="K15" s="218">
        <f t="shared" si="1"/>
        <v>1092.33</v>
      </c>
      <c r="L15" s="218">
        <v>0</v>
      </c>
      <c r="M15" s="95">
        <f t="shared" si="3"/>
        <v>1092.33</v>
      </c>
      <c r="N15" s="108">
        <f t="shared" si="4"/>
        <v>7874.67</v>
      </c>
      <c r="O15" s="132"/>
    </row>
    <row r="16" spans="1:15" s="30" customFormat="1" ht="30" customHeight="1" x14ac:dyDescent="0.2">
      <c r="A16" s="5"/>
      <c r="B16" s="125">
        <v>7</v>
      </c>
      <c r="C16" s="292"/>
      <c r="D16" s="100" t="s">
        <v>163</v>
      </c>
      <c r="E16" s="100" t="s">
        <v>80</v>
      </c>
      <c r="F16" s="100"/>
      <c r="G16" s="93">
        <v>15</v>
      </c>
      <c r="H16" s="94">
        <v>597.79999999999995</v>
      </c>
      <c r="I16" s="99">
        <f t="shared" si="2"/>
        <v>8967</v>
      </c>
      <c r="J16" s="218">
        <f t="shared" si="0"/>
        <v>0</v>
      </c>
      <c r="K16" s="218">
        <f t="shared" si="1"/>
        <v>1092.33</v>
      </c>
      <c r="L16" s="218">
        <v>0</v>
      </c>
      <c r="M16" s="95">
        <f t="shared" si="3"/>
        <v>1092.33</v>
      </c>
      <c r="N16" s="108">
        <f t="shared" si="4"/>
        <v>7874.67</v>
      </c>
      <c r="O16" s="132"/>
    </row>
    <row r="17" spans="1:15" s="30" customFormat="1" ht="30" customHeight="1" x14ac:dyDescent="0.2">
      <c r="A17" s="5"/>
      <c r="B17" s="125">
        <v>8</v>
      </c>
      <c r="C17" s="292"/>
      <c r="D17" s="100" t="s">
        <v>164</v>
      </c>
      <c r="E17" s="100" t="s">
        <v>80</v>
      </c>
      <c r="F17" s="101"/>
      <c r="G17" s="93">
        <v>15</v>
      </c>
      <c r="H17" s="94">
        <v>597.79999999999995</v>
      </c>
      <c r="I17" s="99">
        <f t="shared" si="2"/>
        <v>8967</v>
      </c>
      <c r="J17" s="218">
        <f t="shared" si="0"/>
        <v>0</v>
      </c>
      <c r="K17" s="218">
        <f t="shared" si="1"/>
        <v>1092.33</v>
      </c>
      <c r="L17" s="218">
        <v>0</v>
      </c>
      <c r="M17" s="95">
        <f t="shared" si="3"/>
        <v>1092.33</v>
      </c>
      <c r="N17" s="108">
        <f t="shared" si="4"/>
        <v>7874.67</v>
      </c>
      <c r="O17" s="132"/>
    </row>
    <row r="18" spans="1:15" s="30" customFormat="1" ht="30" customHeight="1" x14ac:dyDescent="0.2">
      <c r="A18" s="5"/>
      <c r="B18" s="125">
        <v>9</v>
      </c>
      <c r="C18" s="292"/>
      <c r="D18" s="100" t="s">
        <v>165</v>
      </c>
      <c r="E18" s="100" t="s">
        <v>80</v>
      </c>
      <c r="F18" s="100"/>
      <c r="G18" s="93">
        <v>15</v>
      </c>
      <c r="H18" s="94">
        <v>597.79999999999995</v>
      </c>
      <c r="I18" s="99">
        <f t="shared" si="2"/>
        <v>8967</v>
      </c>
      <c r="J18" s="218">
        <f t="shared" si="0"/>
        <v>0</v>
      </c>
      <c r="K18" s="218">
        <f t="shared" si="1"/>
        <v>1092.33</v>
      </c>
      <c r="L18" s="218">
        <v>0</v>
      </c>
      <c r="M18" s="95">
        <f t="shared" si="3"/>
        <v>1092.33</v>
      </c>
      <c r="N18" s="108">
        <f t="shared" si="4"/>
        <v>7874.67</v>
      </c>
      <c r="O18" s="132"/>
    </row>
    <row r="19" spans="1:15" s="30" customFormat="1" ht="30" customHeight="1" x14ac:dyDescent="0.2">
      <c r="A19" s="5"/>
      <c r="B19" s="125">
        <v>10</v>
      </c>
      <c r="C19" s="292"/>
      <c r="D19" s="100" t="s">
        <v>166</v>
      </c>
      <c r="E19" s="100" t="s">
        <v>81</v>
      </c>
      <c r="F19" s="100"/>
      <c r="G19" s="93">
        <v>15</v>
      </c>
      <c r="H19" s="94">
        <v>597.79999999999995</v>
      </c>
      <c r="I19" s="99">
        <f t="shared" si="2"/>
        <v>8967</v>
      </c>
      <c r="J19" s="218">
        <f t="shared" si="0"/>
        <v>0</v>
      </c>
      <c r="K19" s="218">
        <f t="shared" si="1"/>
        <v>1092.33</v>
      </c>
      <c r="L19" s="218">
        <v>0</v>
      </c>
      <c r="M19" s="95">
        <f t="shared" si="3"/>
        <v>1092.33</v>
      </c>
      <c r="N19" s="108">
        <f t="shared" si="4"/>
        <v>7874.67</v>
      </c>
      <c r="O19" s="132"/>
    </row>
    <row r="20" spans="1:15" s="27" customFormat="1" x14ac:dyDescent="0.2">
      <c r="A20" s="5"/>
      <c r="B20" s="382" t="s">
        <v>17</v>
      </c>
      <c r="C20" s="383"/>
      <c r="D20" s="383"/>
      <c r="E20" s="383"/>
      <c r="F20" s="383"/>
      <c r="G20" s="383"/>
      <c r="H20" s="106"/>
      <c r="I20" s="128">
        <f t="shared" ref="I20:O20" si="5">SUM(I10:I19)</f>
        <v>89670</v>
      </c>
      <c r="J20" s="266">
        <f t="shared" si="5"/>
        <v>0</v>
      </c>
      <c r="K20" s="128">
        <f t="shared" si="5"/>
        <v>10923.3</v>
      </c>
      <c r="L20" s="128">
        <f>SUM(L10:L19)</f>
        <v>0</v>
      </c>
      <c r="M20" s="128">
        <f>SUM(M10:M19)</f>
        <v>10923.3</v>
      </c>
      <c r="N20" s="128">
        <f>SUM(N10:N19)</f>
        <v>78746.7</v>
      </c>
      <c r="O20" s="135">
        <f t="shared" si="5"/>
        <v>0</v>
      </c>
    </row>
    <row r="21" spans="1:15" x14ac:dyDescent="0.2">
      <c r="B21" s="133"/>
      <c r="C21" s="48"/>
      <c r="D21" s="48"/>
      <c r="E21" s="48"/>
      <c r="F21" s="48"/>
      <c r="G21" s="48"/>
      <c r="H21" s="48"/>
      <c r="I21" s="126"/>
      <c r="J21" s="48"/>
      <c r="K21" s="48"/>
      <c r="L21" s="48"/>
      <c r="M21" s="48"/>
      <c r="N21" s="48"/>
      <c r="O21" s="134"/>
    </row>
    <row r="22" spans="1:15" x14ac:dyDescent="0.2">
      <c r="B22" s="133"/>
      <c r="C22" s="48"/>
      <c r="D22" s="48"/>
      <c r="E22" s="48"/>
      <c r="F22" s="48"/>
      <c r="G22" s="48"/>
      <c r="H22" s="48"/>
      <c r="I22" s="126"/>
      <c r="J22" s="48"/>
      <c r="K22" s="48"/>
      <c r="L22" s="48"/>
      <c r="M22" s="48"/>
      <c r="N22" s="48"/>
      <c r="O22" s="134"/>
    </row>
    <row r="23" spans="1:15" x14ac:dyDescent="0.2">
      <c r="B23" s="133"/>
      <c r="C23" s="48"/>
      <c r="D23" s="48"/>
      <c r="E23" s="48"/>
      <c r="F23" s="48"/>
      <c r="G23" s="48"/>
      <c r="H23" s="48"/>
      <c r="I23" s="126"/>
      <c r="J23" s="48"/>
      <c r="K23" s="48"/>
      <c r="L23" s="48"/>
      <c r="M23" s="48"/>
      <c r="N23" s="48"/>
      <c r="O23" s="134"/>
    </row>
    <row r="24" spans="1:15" x14ac:dyDescent="0.2">
      <c r="B24" s="133"/>
      <c r="C24" s="48"/>
      <c r="D24" s="48"/>
      <c r="E24" s="48"/>
      <c r="F24" s="48"/>
      <c r="G24" s="48"/>
      <c r="H24" s="48"/>
      <c r="I24" s="126"/>
      <c r="J24" s="48"/>
      <c r="K24" s="48"/>
      <c r="L24" s="48"/>
      <c r="M24" s="48"/>
      <c r="N24" s="48"/>
      <c r="O24" s="134"/>
    </row>
    <row r="25" spans="1:15" x14ac:dyDescent="0.2">
      <c r="B25" s="133"/>
      <c r="C25" s="48"/>
      <c r="D25" s="48"/>
      <c r="E25" s="48"/>
      <c r="F25" s="48"/>
      <c r="G25" s="48"/>
      <c r="H25" s="48"/>
      <c r="I25" s="126"/>
      <c r="J25" s="48"/>
      <c r="K25" s="48"/>
      <c r="L25" s="48"/>
      <c r="M25" s="48"/>
      <c r="N25" s="48"/>
      <c r="O25" s="136"/>
    </row>
    <row r="26" spans="1:15" ht="13.5" x14ac:dyDescent="0.2">
      <c r="B26" s="137"/>
      <c r="D26" s="127" t="s">
        <v>393</v>
      </c>
      <c r="M26" s="127" t="s">
        <v>372</v>
      </c>
      <c r="N26" s="127"/>
      <c r="O26" s="122"/>
    </row>
    <row r="27" spans="1:15" ht="12.75" customHeight="1" x14ac:dyDescent="0.2">
      <c r="B27" s="137"/>
      <c r="D27" s="380" t="s">
        <v>371</v>
      </c>
      <c r="E27" s="380"/>
      <c r="M27" s="380" t="s">
        <v>373</v>
      </c>
      <c r="N27" s="380"/>
      <c r="O27" s="381"/>
    </row>
    <row r="28" spans="1:15" ht="13.5" thickBot="1" x14ac:dyDescent="0.25">
      <c r="B28" s="138"/>
      <c r="C28" s="140"/>
      <c r="D28" s="139"/>
      <c r="E28" s="140"/>
      <c r="F28" s="140"/>
      <c r="G28" s="140"/>
      <c r="H28" s="140"/>
      <c r="I28" s="141"/>
      <c r="J28" s="140"/>
      <c r="K28" s="140"/>
      <c r="L28" s="140"/>
      <c r="M28" s="140"/>
      <c r="N28" s="140"/>
      <c r="O28" s="142"/>
    </row>
    <row r="31" spans="1:15" x14ac:dyDescent="0.2">
      <c r="M31" s="5" t="s">
        <v>97</v>
      </c>
      <c r="N31" s="33">
        <f>N10+N12</f>
        <v>15749.34</v>
      </c>
    </row>
    <row r="32" spans="1:15" x14ac:dyDescent="0.2">
      <c r="M32" s="5" t="s">
        <v>98</v>
      </c>
      <c r="N32" s="33">
        <f>N13+N14+N15+N16+N17+N18+N19+N11</f>
        <v>62997.359999999993</v>
      </c>
    </row>
    <row r="34" spans="4:14" x14ac:dyDescent="0.2">
      <c r="M34" s="5" t="s">
        <v>384</v>
      </c>
      <c r="N34" s="33">
        <f>N32+N31</f>
        <v>78746.7</v>
      </c>
    </row>
    <row r="36" spans="4:14" x14ac:dyDescent="0.2">
      <c r="M36" s="5" t="s">
        <v>385</v>
      </c>
      <c r="N36" s="35">
        <f>N34-N20</f>
        <v>0</v>
      </c>
    </row>
    <row r="40" spans="4:14" x14ac:dyDescent="0.2">
      <c r="D40" s="34" t="s">
        <v>441</v>
      </c>
      <c r="E40" s="264">
        <f>REGIDORES!N34+BASE!M114+EVENTUALES!L154+PENSIONADOS!AJ38+'Apoyos '!H66+'Apoyos '!AL9</f>
        <v>581905.92200000002</v>
      </c>
      <c r="K40" s="5" t="s">
        <v>439</v>
      </c>
      <c r="N40" s="264">
        <f>N31+BASE!M112+EVENTUALES!L152+PENSIONADOS!AJ24+'Apoyos '!H54+'Apoyos '!H22+'SEG. PUBLICA'!M44+PROT.CIVIL!M40</f>
        <v>373346.45200000005</v>
      </c>
    </row>
    <row r="42" spans="4:14" x14ac:dyDescent="0.2">
      <c r="D42" s="34" t="s">
        <v>442</v>
      </c>
      <c r="E42" s="264">
        <f>'SEG. PUBLICA'!M47+PROT.CIVIL!M43</f>
        <v>222100.10000000003</v>
      </c>
      <c r="K42" s="5" t="s">
        <v>440</v>
      </c>
      <c r="N42" s="264">
        <f>N32+BASE!M113+EVENTUALES!L153+'SEG. PUBLICA'!M46+PROT.CIVIL!M42</f>
        <v>430659.57</v>
      </c>
    </row>
    <row r="44" spans="4:14" x14ac:dyDescent="0.2">
      <c r="D44" s="34" t="s">
        <v>144</v>
      </c>
      <c r="E44" s="264">
        <f>SUM(E40:E42)</f>
        <v>804006.02200000011</v>
      </c>
      <c r="K44" s="5" t="s">
        <v>144</v>
      </c>
      <c r="N44" s="264">
        <f>SUM(N40:N43)</f>
        <v>804006.02200000011</v>
      </c>
    </row>
  </sheetData>
  <mergeCells count="6">
    <mergeCell ref="E2:O2"/>
    <mergeCell ref="E4:F4"/>
    <mergeCell ref="D27:E27"/>
    <mergeCell ref="M27:O27"/>
    <mergeCell ref="B20:G20"/>
    <mergeCell ref="G8:M8"/>
  </mergeCells>
  <phoneticPr fontId="18" type="noConversion"/>
  <pageMargins left="0.70866141732283472" right="0.70866141732283472" top="0.74803149606299213" bottom="0.15748031496062992" header="0.31496062992125984" footer="0.11811023622047245"/>
  <pageSetup scale="7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6"/>
  <sheetViews>
    <sheetView showGridLines="0" topLeftCell="A92" zoomScaleNormal="100" workbookViewId="0">
      <selection activeCell="F100" sqref="F100"/>
    </sheetView>
  </sheetViews>
  <sheetFormatPr baseColWidth="10" defaultColWidth="11.42578125" defaultRowHeight="17.25" x14ac:dyDescent="0.2"/>
  <cols>
    <col min="1" max="1" width="2.5703125" style="29" customWidth="1"/>
    <col min="2" max="3" width="3.5703125" style="4" customWidth="1"/>
    <col min="4" max="4" width="32.5703125" style="71" customWidth="1"/>
    <col min="5" max="5" width="21.7109375" style="38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9"/>
  </cols>
  <sheetData>
    <row r="1" spans="1:14" ht="14.25" x14ac:dyDescent="0.2">
      <c r="B1" s="367" t="s">
        <v>29</v>
      </c>
      <c r="C1" s="285"/>
      <c r="D1" s="180"/>
      <c r="E1" s="181"/>
      <c r="F1" s="182"/>
      <c r="G1" s="182"/>
      <c r="H1" s="182"/>
      <c r="I1" s="182"/>
      <c r="J1" s="182"/>
      <c r="K1" s="182"/>
      <c r="L1" s="182"/>
      <c r="M1" s="182"/>
      <c r="N1" s="183"/>
    </row>
    <row r="2" spans="1:14" ht="20.25" x14ac:dyDescent="0.2">
      <c r="B2" s="184"/>
      <c r="C2" s="286"/>
      <c r="D2" s="87"/>
      <c r="E2" s="385" t="s">
        <v>378</v>
      </c>
      <c r="F2" s="385"/>
      <c r="G2" s="385"/>
      <c r="H2" s="385"/>
      <c r="I2" s="385"/>
      <c r="J2" s="385"/>
      <c r="K2" s="385"/>
      <c r="L2" s="185"/>
      <c r="M2" s="185"/>
      <c r="N2" s="186"/>
    </row>
    <row r="3" spans="1:14" ht="14.25" x14ac:dyDescent="0.2">
      <c r="B3" s="184"/>
      <c r="C3" s="286"/>
      <c r="D3" s="87"/>
      <c r="E3" s="187"/>
      <c r="F3" s="185"/>
      <c r="G3" s="185"/>
      <c r="H3" s="185"/>
      <c r="I3" s="185"/>
      <c r="J3" s="185"/>
      <c r="K3" s="185"/>
      <c r="L3" s="185"/>
      <c r="M3" s="185"/>
      <c r="N3" s="186"/>
    </row>
    <row r="4" spans="1:14" ht="14.25" x14ac:dyDescent="0.2">
      <c r="B4" s="184"/>
      <c r="C4" s="286"/>
      <c r="D4" s="87"/>
      <c r="E4" s="187"/>
      <c r="F4" s="185"/>
      <c r="G4" s="185"/>
      <c r="H4" s="185"/>
      <c r="I4" s="185"/>
      <c r="J4" s="185"/>
      <c r="K4" s="185"/>
      <c r="L4" s="185"/>
      <c r="M4" s="185"/>
      <c r="N4" s="186"/>
    </row>
    <row r="5" spans="1:14" ht="18" customHeight="1" x14ac:dyDescent="0.2">
      <c r="B5" s="188"/>
      <c r="C5" s="42"/>
      <c r="D5" s="87"/>
      <c r="E5" s="386" t="s">
        <v>381</v>
      </c>
      <c r="F5" s="386"/>
      <c r="G5" s="386"/>
      <c r="H5" s="386"/>
      <c r="I5" s="386"/>
      <c r="J5" s="386"/>
      <c r="K5" s="386"/>
      <c r="L5" s="387"/>
      <c r="M5" s="387"/>
      <c r="N5" s="388"/>
    </row>
    <row r="6" spans="1:14" ht="18" customHeight="1" x14ac:dyDescent="0.2">
      <c r="B6" s="188"/>
      <c r="C6" s="42"/>
      <c r="D6" s="87"/>
      <c r="E6" s="210"/>
      <c r="F6" s="210"/>
      <c r="G6" s="210"/>
      <c r="H6" s="210"/>
      <c r="I6" s="210"/>
      <c r="J6" s="219"/>
      <c r="K6" s="219"/>
      <c r="L6" s="211"/>
      <c r="M6" s="211"/>
      <c r="N6" s="212"/>
    </row>
    <row r="7" spans="1:14" ht="18" customHeight="1" thickBot="1" x14ac:dyDescent="0.25">
      <c r="B7" s="188"/>
      <c r="C7" s="42"/>
      <c r="D7" s="391" t="s">
        <v>486</v>
      </c>
      <c r="E7" s="391"/>
      <c r="F7" s="391"/>
      <c r="G7" s="391"/>
      <c r="H7" s="391"/>
      <c r="I7" s="391"/>
      <c r="J7" s="391"/>
      <c r="K7" s="219"/>
      <c r="L7" s="211"/>
      <c r="M7" s="211"/>
      <c r="N7" s="212"/>
    </row>
    <row r="8" spans="1:14" s="28" customFormat="1" ht="36" x14ac:dyDescent="0.2">
      <c r="A8" s="29"/>
      <c r="B8" s="153" t="s">
        <v>370</v>
      </c>
      <c r="C8" s="287" t="s">
        <v>448</v>
      </c>
      <c r="D8" s="154" t="s">
        <v>14</v>
      </c>
      <c r="E8" s="154" t="s">
        <v>363</v>
      </c>
      <c r="F8" s="154" t="s">
        <v>364</v>
      </c>
      <c r="G8" s="154" t="s">
        <v>367</v>
      </c>
      <c r="H8" s="154" t="s">
        <v>369</v>
      </c>
      <c r="I8" s="155" t="s">
        <v>365</v>
      </c>
      <c r="J8" s="154" t="s">
        <v>390</v>
      </c>
      <c r="K8" s="154" t="s">
        <v>391</v>
      </c>
      <c r="L8" s="156" t="s">
        <v>366</v>
      </c>
      <c r="M8" s="157" t="s">
        <v>362</v>
      </c>
      <c r="N8" s="158" t="s">
        <v>375</v>
      </c>
    </row>
    <row r="9" spans="1:14" s="30" customFormat="1" ht="30" customHeight="1" x14ac:dyDescent="0.2">
      <c r="A9" s="5"/>
      <c r="B9" s="159">
        <v>1</v>
      </c>
      <c r="C9" s="288"/>
      <c r="D9" s="143" t="s">
        <v>394</v>
      </c>
      <c r="E9" s="143" t="s">
        <v>94</v>
      </c>
      <c r="F9" s="144"/>
      <c r="G9" s="68">
        <v>15</v>
      </c>
      <c r="H9" s="145">
        <v>1427.133</v>
      </c>
      <c r="I9" s="146">
        <f>ROUND(G9*H9,2)</f>
        <v>21407</v>
      </c>
      <c r="J9" s="220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220">
        <f>IF(H9&lt;=207.44,0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3878.99</v>
      </c>
      <c r="L9" s="147">
        <f>K9</f>
        <v>3878.99</v>
      </c>
      <c r="M9" s="147">
        <f>I9+J9-L9</f>
        <v>17528.010000000002</v>
      </c>
      <c r="N9" s="160"/>
    </row>
    <row r="10" spans="1:14" s="30" customFormat="1" ht="30" customHeight="1" x14ac:dyDescent="0.2">
      <c r="A10" s="5"/>
      <c r="B10" s="159">
        <v>2</v>
      </c>
      <c r="C10" s="288" t="s">
        <v>448</v>
      </c>
      <c r="D10" s="143" t="s">
        <v>211</v>
      </c>
      <c r="E10" s="143" t="s">
        <v>115</v>
      </c>
      <c r="F10" s="144"/>
      <c r="G10" s="68">
        <v>15</v>
      </c>
      <c r="H10" s="145">
        <v>297.81</v>
      </c>
      <c r="I10" s="146">
        <v>4837</v>
      </c>
      <c r="J10" s="220">
        <f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220">
        <f>IF(H10&lt;=207.44,0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369.8</v>
      </c>
      <c r="L10" s="147">
        <f>K10</f>
        <v>369.8</v>
      </c>
      <c r="M10" s="147">
        <f>I10+J10-L10</f>
        <v>4467.2</v>
      </c>
      <c r="N10" s="160"/>
    </row>
    <row r="11" spans="1:14" s="5" customFormat="1" ht="30" customHeight="1" x14ac:dyDescent="0.2">
      <c r="B11" s="159">
        <v>3</v>
      </c>
      <c r="C11" s="288"/>
      <c r="D11" s="143" t="s">
        <v>151</v>
      </c>
      <c r="E11" s="143" t="s">
        <v>135</v>
      </c>
      <c r="F11" s="143"/>
      <c r="G11" s="68">
        <v>15</v>
      </c>
      <c r="H11" s="145">
        <v>560</v>
      </c>
      <c r="I11" s="146">
        <f>ROUND(G11*H11,2)</f>
        <v>8400</v>
      </c>
      <c r="J11" s="220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220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971.22</v>
      </c>
      <c r="L11" s="147">
        <f>K11</f>
        <v>971.22</v>
      </c>
      <c r="M11" s="147">
        <f>I11+J11-L11</f>
        <v>7428.78</v>
      </c>
      <c r="N11" s="160"/>
    </row>
    <row r="12" spans="1:14" s="28" customFormat="1" ht="30" customHeight="1" x14ac:dyDescent="0.2">
      <c r="A12" s="29"/>
      <c r="B12" s="159">
        <v>4</v>
      </c>
      <c r="C12" s="288"/>
      <c r="D12" s="143" t="s">
        <v>212</v>
      </c>
      <c r="E12" s="143" t="s">
        <v>87</v>
      </c>
      <c r="F12" s="144"/>
      <c r="G12" s="68">
        <v>15</v>
      </c>
      <c r="H12" s="145">
        <v>179.13300000000001</v>
      </c>
      <c r="I12" s="146">
        <f>ROUND(G12*H12,2)</f>
        <v>2687</v>
      </c>
      <c r="J12" s="220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220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215">
        <f>K12</f>
        <v>0</v>
      </c>
      <c r="M12" s="147">
        <f>I12+J12-L12</f>
        <v>2687</v>
      </c>
      <c r="N12" s="160"/>
    </row>
    <row r="13" spans="1:14" s="30" customFormat="1" ht="30" customHeight="1" x14ac:dyDescent="0.2">
      <c r="A13" s="5"/>
      <c r="B13" s="159">
        <v>5</v>
      </c>
      <c r="C13" s="288"/>
      <c r="D13" s="143" t="s">
        <v>213</v>
      </c>
      <c r="E13" s="143" t="s">
        <v>93</v>
      </c>
      <c r="F13" s="144"/>
      <c r="G13" s="68">
        <v>15</v>
      </c>
      <c r="H13" s="145">
        <v>302.4785</v>
      </c>
      <c r="I13" s="146">
        <f>ROUND(G13*H13,2)</f>
        <v>4537.18</v>
      </c>
      <c r="J13" s="220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220">
        <f>IF(H13&lt;=207.44,0,(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))</f>
        <v>337.18</v>
      </c>
      <c r="L13" s="147">
        <f>K13</f>
        <v>337.18</v>
      </c>
      <c r="M13" s="147">
        <f>I13+J13-L13</f>
        <v>4200</v>
      </c>
      <c r="N13" s="160"/>
    </row>
    <row r="14" spans="1:14" s="31" customFormat="1" ht="30" customHeight="1" x14ac:dyDescent="0.2">
      <c r="A14" s="26"/>
      <c r="B14" s="161"/>
      <c r="C14" s="289"/>
      <c r="D14" s="80"/>
      <c r="E14" s="70" t="s">
        <v>124</v>
      </c>
      <c r="F14" s="389"/>
      <c r="G14" s="390"/>
      <c r="H14" s="69"/>
      <c r="I14" s="149">
        <f>SUM(I9:I13)</f>
        <v>41868.18</v>
      </c>
      <c r="J14" s="214">
        <f>SUM(J9:J13)</f>
        <v>0</v>
      </c>
      <c r="K14" s="149">
        <f>SUM(K9:K13)</f>
        <v>5557.1900000000005</v>
      </c>
      <c r="L14" s="149">
        <f>SUM(L9:L13)</f>
        <v>5557.1900000000005</v>
      </c>
      <c r="M14" s="149">
        <f>SUM(M9:M13)</f>
        <v>36310.990000000005</v>
      </c>
      <c r="N14" s="162"/>
    </row>
    <row r="15" spans="1:14" s="28" customFormat="1" ht="30" customHeight="1" x14ac:dyDescent="0.2">
      <c r="A15" s="29"/>
      <c r="B15" s="392" t="s">
        <v>35</v>
      </c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4"/>
    </row>
    <row r="16" spans="1:14" s="30" customFormat="1" ht="30" customHeight="1" x14ac:dyDescent="0.2">
      <c r="A16" s="5"/>
      <c r="B16" s="159">
        <v>6</v>
      </c>
      <c r="C16" s="288"/>
      <c r="D16" s="150" t="s">
        <v>177</v>
      </c>
      <c r="E16" s="143" t="s">
        <v>82</v>
      </c>
      <c r="F16" s="151"/>
      <c r="G16" s="68">
        <v>15</v>
      </c>
      <c r="H16" s="145">
        <v>811.66660000000002</v>
      </c>
      <c r="I16" s="146">
        <v>12175</v>
      </c>
      <c r="J16" s="22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220">
        <f>IF(H16&lt;=207.44,0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1777.56</v>
      </c>
      <c r="L16" s="147">
        <f>K16</f>
        <v>1777.56</v>
      </c>
      <c r="M16" s="147">
        <f>I16+J16-L16</f>
        <v>10397.44</v>
      </c>
      <c r="N16" s="163"/>
    </row>
    <row r="17" spans="1:97" s="31" customFormat="1" ht="30" customHeight="1" x14ac:dyDescent="0.2">
      <c r="A17" s="26"/>
      <c r="B17" s="161"/>
      <c r="C17" s="289"/>
      <c r="D17" s="80"/>
      <c r="E17" s="70" t="s">
        <v>34</v>
      </c>
      <c r="F17" s="70"/>
      <c r="G17" s="70"/>
      <c r="H17" s="152"/>
      <c r="I17" s="149">
        <f>SUM(I16:I16)</f>
        <v>12175</v>
      </c>
      <c r="J17" s="214">
        <f>SUM(J16:J16)</f>
        <v>0</v>
      </c>
      <c r="K17" s="149">
        <f>SUM(K16:K16)</f>
        <v>1777.56</v>
      </c>
      <c r="L17" s="149">
        <f>SUM(L16:L16)</f>
        <v>1777.56</v>
      </c>
      <c r="M17" s="149">
        <f>SUM(M16:M16)</f>
        <v>10397.44</v>
      </c>
      <c r="N17" s="162"/>
    </row>
    <row r="18" spans="1:97" s="5" customFormat="1" ht="30" customHeight="1" x14ac:dyDescent="0.2">
      <c r="B18" s="392" t="s">
        <v>83</v>
      </c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4"/>
    </row>
    <row r="19" spans="1:97" ht="30" customHeight="1" x14ac:dyDescent="0.2">
      <c r="B19" s="159">
        <v>7</v>
      </c>
      <c r="C19" s="288"/>
      <c r="D19" s="150" t="s">
        <v>214</v>
      </c>
      <c r="E19" s="143" t="s">
        <v>36</v>
      </c>
      <c r="F19" s="144"/>
      <c r="G19" s="68">
        <v>15</v>
      </c>
      <c r="H19" s="145">
        <v>400</v>
      </c>
      <c r="I19" s="146">
        <f>ROUND(G19*H19,2)</f>
        <v>6000</v>
      </c>
      <c r="J19" s="22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220">
        <f>IF(H19&lt;=207.44,0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522.41</v>
      </c>
      <c r="L19" s="147">
        <f>K19</f>
        <v>522.41</v>
      </c>
      <c r="M19" s="147">
        <f>I19+J19-L19</f>
        <v>5477.59</v>
      </c>
      <c r="N19" s="163"/>
    </row>
    <row r="20" spans="1:97" ht="30" customHeight="1" x14ac:dyDescent="0.2">
      <c r="B20" s="159">
        <v>8</v>
      </c>
      <c r="C20" s="288"/>
      <c r="D20" s="150" t="s">
        <v>215</v>
      </c>
      <c r="E20" s="143" t="s">
        <v>43</v>
      </c>
      <c r="F20" s="144"/>
      <c r="G20" s="68">
        <v>15</v>
      </c>
      <c r="H20" s="145">
        <v>274.13330000000002</v>
      </c>
      <c r="I20" s="146">
        <f>ROUND(G20*H20,2)</f>
        <v>4112</v>
      </c>
      <c r="J20" s="22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220">
        <f>IF(H20&lt;=207.44,0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290.92</v>
      </c>
      <c r="L20" s="147">
        <f>K20</f>
        <v>290.92</v>
      </c>
      <c r="M20" s="147">
        <f>I20+J20-L20</f>
        <v>3821.08</v>
      </c>
      <c r="N20" s="163"/>
    </row>
    <row r="21" spans="1:97" s="5" customFormat="1" ht="30" customHeight="1" x14ac:dyDescent="0.2">
      <c r="B21" s="159"/>
      <c r="C21" s="288"/>
      <c r="D21" s="77"/>
      <c r="E21" s="70" t="s">
        <v>34</v>
      </c>
      <c r="F21" s="389"/>
      <c r="G21" s="390"/>
      <c r="H21" s="152"/>
      <c r="I21" s="149">
        <f>SUM(I19:I20)</f>
        <v>10112</v>
      </c>
      <c r="J21" s="214">
        <f>SUM(J19:J20)</f>
        <v>0</v>
      </c>
      <c r="K21" s="149">
        <f>SUM(K19:K20)</f>
        <v>813.32999999999993</v>
      </c>
      <c r="L21" s="149">
        <f>SUM(L19:L20)</f>
        <v>813.32999999999993</v>
      </c>
      <c r="M21" s="149">
        <f>SUM(M19:M20)</f>
        <v>9298.67</v>
      </c>
      <c r="N21" s="162"/>
    </row>
    <row r="22" spans="1:97" ht="30" customHeight="1" x14ac:dyDescent="0.2">
      <c r="B22" s="392" t="s">
        <v>37</v>
      </c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4"/>
    </row>
    <row r="23" spans="1:97" s="5" customFormat="1" ht="30" customHeight="1" x14ac:dyDescent="0.2">
      <c r="A23" s="5" t="s">
        <v>29</v>
      </c>
      <c r="B23" s="159">
        <v>9</v>
      </c>
      <c r="C23" s="288"/>
      <c r="D23" s="150" t="s">
        <v>216</v>
      </c>
      <c r="E23" s="143" t="s">
        <v>36</v>
      </c>
      <c r="F23" s="144"/>
      <c r="G23" s="68">
        <v>15</v>
      </c>
      <c r="H23" s="145">
        <v>303</v>
      </c>
      <c r="I23" s="146">
        <f>ROUND(G23*H23,2)</f>
        <v>4545</v>
      </c>
      <c r="J23" s="22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220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47">
        <f>K23</f>
        <v>338.03</v>
      </c>
      <c r="M23" s="147">
        <f>I23+J23-L23</f>
        <v>4206.97</v>
      </c>
      <c r="N23" s="163"/>
    </row>
    <row r="24" spans="1:97" ht="30" customHeight="1" x14ac:dyDescent="0.2">
      <c r="B24" s="159">
        <v>10</v>
      </c>
      <c r="C24" s="288"/>
      <c r="D24" s="150" t="s">
        <v>217</v>
      </c>
      <c r="E24" s="143" t="s">
        <v>38</v>
      </c>
      <c r="F24" s="144"/>
      <c r="G24" s="68">
        <v>15</v>
      </c>
      <c r="H24" s="145">
        <v>274.13330000000002</v>
      </c>
      <c r="I24" s="146">
        <f>ROUND(G24*H24,2)</f>
        <v>4112</v>
      </c>
      <c r="J24" s="22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220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290.92</v>
      </c>
      <c r="L24" s="147">
        <f>K24</f>
        <v>290.92</v>
      </c>
      <c r="M24" s="147">
        <f>I24+J24-L24</f>
        <v>3821.08</v>
      </c>
      <c r="N24" s="163"/>
    </row>
    <row r="25" spans="1:97" ht="30" customHeight="1" x14ac:dyDescent="0.2">
      <c r="B25" s="159">
        <v>11</v>
      </c>
      <c r="C25" s="288"/>
      <c r="D25" s="150" t="s">
        <v>218</v>
      </c>
      <c r="E25" s="143" t="s">
        <v>39</v>
      </c>
      <c r="F25" s="144"/>
      <c r="G25" s="68">
        <v>15</v>
      </c>
      <c r="H25" s="145">
        <v>190.86666</v>
      </c>
      <c r="I25" s="146">
        <f>ROUND(G25*H25,2)</f>
        <v>2863</v>
      </c>
      <c r="J25" s="22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220">
        <f>IF(H25&lt;=207.44,0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215">
        <f>K25</f>
        <v>0</v>
      </c>
      <c r="M25" s="147">
        <f>I25+J25-L25</f>
        <v>2863</v>
      </c>
      <c r="N25" s="163"/>
    </row>
    <row r="26" spans="1:97" ht="30" customHeight="1" x14ac:dyDescent="0.2">
      <c r="B26" s="159">
        <v>12</v>
      </c>
      <c r="C26" s="288"/>
      <c r="D26" s="150" t="s">
        <v>219</v>
      </c>
      <c r="E26" s="143" t="s">
        <v>39</v>
      </c>
      <c r="F26" s="144"/>
      <c r="G26" s="68">
        <v>15</v>
      </c>
      <c r="H26" s="145">
        <v>190.86666</v>
      </c>
      <c r="I26" s="146">
        <f>ROUND(G26*H26,2)</f>
        <v>2863</v>
      </c>
      <c r="J26" s="22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220">
        <f>IF(H26&lt;=207.44,0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215">
        <f>K26</f>
        <v>0</v>
      </c>
      <c r="M26" s="147">
        <f>I26+J26-L26</f>
        <v>2863</v>
      </c>
      <c r="N26" s="163"/>
    </row>
    <row r="27" spans="1:97" ht="30" customHeight="1" x14ac:dyDescent="0.2">
      <c r="B27" s="159">
        <v>13</v>
      </c>
      <c r="C27" s="288"/>
      <c r="D27" s="150" t="s">
        <v>476</v>
      </c>
      <c r="E27" s="143" t="s">
        <v>39</v>
      </c>
      <c r="F27" s="144"/>
      <c r="G27" s="68">
        <v>15</v>
      </c>
      <c r="H27" s="145">
        <v>190.86666</v>
      </c>
      <c r="I27" s="146">
        <f>ROUND(G27*H27,2)</f>
        <v>2863</v>
      </c>
      <c r="J27" s="22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220">
        <f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215">
        <f>K27</f>
        <v>0</v>
      </c>
      <c r="M27" s="147">
        <f>I27+J27-L27</f>
        <v>2863</v>
      </c>
      <c r="N27" s="163"/>
    </row>
    <row r="28" spans="1:97" ht="30" customHeight="1" x14ac:dyDescent="0.2">
      <c r="B28" s="159"/>
      <c r="C28" s="288"/>
      <c r="D28" s="77"/>
      <c r="E28" s="70" t="s">
        <v>34</v>
      </c>
      <c r="F28" s="389"/>
      <c r="G28" s="390"/>
      <c r="H28" s="152"/>
      <c r="I28" s="149">
        <f>SUM(I23:I27)</f>
        <v>17246</v>
      </c>
      <c r="J28" s="214">
        <v>0</v>
      </c>
      <c r="K28" s="149">
        <f>SUM(K23:K27)</f>
        <v>628.95000000000005</v>
      </c>
      <c r="L28" s="149">
        <f>SUM(L23:L27)</f>
        <v>628.95000000000005</v>
      </c>
      <c r="M28" s="149">
        <f>SUM(M23:M27)</f>
        <v>16617.05</v>
      </c>
      <c r="N28" s="162"/>
    </row>
    <row r="29" spans="1:97" ht="30" customHeight="1" x14ac:dyDescent="0.2">
      <c r="B29" s="392" t="s">
        <v>174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4"/>
    </row>
    <row r="30" spans="1:97" s="5" customFormat="1" ht="30" customHeight="1" x14ac:dyDescent="0.2">
      <c r="B30" s="159">
        <v>14</v>
      </c>
      <c r="C30" s="288"/>
      <c r="D30" s="150" t="s">
        <v>220</v>
      </c>
      <c r="E30" s="143" t="s">
        <v>191</v>
      </c>
      <c r="F30" s="143"/>
      <c r="G30" s="68">
        <v>15</v>
      </c>
      <c r="H30" s="145">
        <v>366.8</v>
      </c>
      <c r="I30" s="146">
        <f>ROUND(G30*H30,2)</f>
        <v>5502</v>
      </c>
      <c r="J30" s="22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220">
        <f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442.73</v>
      </c>
      <c r="L30" s="147">
        <f>K30</f>
        <v>442.73</v>
      </c>
      <c r="M30" s="147">
        <f>I30+J30-L30</f>
        <v>5059.2700000000004</v>
      </c>
      <c r="N30" s="163"/>
    </row>
    <row r="31" spans="1:97" s="89" customFormat="1" ht="30" customHeight="1" x14ac:dyDescent="0.2">
      <c r="A31" s="5"/>
      <c r="B31" s="159">
        <v>15</v>
      </c>
      <c r="C31" s="288" t="s">
        <v>448</v>
      </c>
      <c r="D31" s="150" t="s">
        <v>195</v>
      </c>
      <c r="E31" s="143" t="s">
        <v>43</v>
      </c>
      <c r="F31" s="143"/>
      <c r="G31" s="68">
        <v>15</v>
      </c>
      <c r="H31" s="147">
        <v>219.93299999999999</v>
      </c>
      <c r="I31" s="146">
        <f>ROUND(G31*H31,2)</f>
        <v>3299</v>
      </c>
      <c r="J31" s="22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220">
        <f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77.37</v>
      </c>
      <c r="L31" s="147">
        <f>K31</f>
        <v>77.37</v>
      </c>
      <c r="M31" s="147">
        <f>I31+J31-L31</f>
        <v>3221.63</v>
      </c>
      <c r="N31" s="16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59"/>
      <c r="C32" s="288"/>
      <c r="D32" s="77"/>
      <c r="E32" s="70" t="s">
        <v>34</v>
      </c>
      <c r="F32" s="389"/>
      <c r="G32" s="390"/>
      <c r="H32" s="69"/>
      <c r="I32" s="149">
        <f>SUM(I30:I31)</f>
        <v>8801</v>
      </c>
      <c r="J32" s="214">
        <f>SUM(J30:J31)</f>
        <v>0</v>
      </c>
      <c r="K32" s="149">
        <f>SUM(K30:K31)</f>
        <v>520.1</v>
      </c>
      <c r="L32" s="149">
        <f>SUM(L30:L31)</f>
        <v>520.1</v>
      </c>
      <c r="M32" s="149">
        <f>SUM(M30:M31)</f>
        <v>8280.9000000000015</v>
      </c>
      <c r="N32" s="162"/>
    </row>
    <row r="33" spans="1:97" ht="30" customHeight="1" x14ac:dyDescent="0.2">
      <c r="B33" s="398" t="s">
        <v>40</v>
      </c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400"/>
    </row>
    <row r="34" spans="1:97" s="89" customFormat="1" ht="30" customHeight="1" x14ac:dyDescent="0.2">
      <c r="A34" s="5"/>
      <c r="B34" s="159">
        <v>16</v>
      </c>
      <c r="C34" s="288" t="s">
        <v>448</v>
      </c>
      <c r="D34" s="150" t="s">
        <v>355</v>
      </c>
      <c r="E34" s="143" t="s">
        <v>356</v>
      </c>
      <c r="F34" s="68"/>
      <c r="G34" s="68">
        <v>15</v>
      </c>
      <c r="H34" s="147">
        <v>303</v>
      </c>
      <c r="I34" s="146">
        <f>ROUND(G34*H34,2)</f>
        <v>4545</v>
      </c>
      <c r="J34" s="22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220">
        <f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338.03</v>
      </c>
      <c r="L34" s="147">
        <f>K34</f>
        <v>338.03</v>
      </c>
      <c r="M34" s="147">
        <f>I34+J34-L34</f>
        <v>4206.97</v>
      </c>
      <c r="N34" s="16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59">
        <v>17</v>
      </c>
      <c r="C35" s="288"/>
      <c r="D35" s="150" t="s">
        <v>221</v>
      </c>
      <c r="E35" s="143" t="s">
        <v>42</v>
      </c>
      <c r="F35" s="144"/>
      <c r="G35" s="68">
        <v>15</v>
      </c>
      <c r="H35" s="147">
        <v>166.66659999999999</v>
      </c>
      <c r="I35" s="146">
        <f>ROUND(G35*H35,2)</f>
        <v>2500</v>
      </c>
      <c r="J35" s="146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16.79</v>
      </c>
      <c r="K35" s="215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215">
        <f>K35</f>
        <v>0</v>
      </c>
      <c r="M35" s="147">
        <f>I35+J35-L35</f>
        <v>2516.79</v>
      </c>
      <c r="N35" s="163"/>
    </row>
    <row r="36" spans="1:97" s="91" customFormat="1" ht="30" customHeight="1" x14ac:dyDescent="0.2">
      <c r="A36" s="29"/>
      <c r="B36" s="159">
        <v>18</v>
      </c>
      <c r="C36" s="288" t="s">
        <v>448</v>
      </c>
      <c r="D36" s="150" t="s">
        <v>222</v>
      </c>
      <c r="E36" s="143" t="s">
        <v>117</v>
      </c>
      <c r="F36" s="144"/>
      <c r="G36" s="68">
        <v>15</v>
      </c>
      <c r="H36" s="147">
        <v>213.53299999999999</v>
      </c>
      <c r="I36" s="146">
        <f>ROUND(G36*H36,2)</f>
        <v>3203</v>
      </c>
      <c r="J36" s="22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220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66.92</v>
      </c>
      <c r="L36" s="147">
        <f>K36</f>
        <v>66.92</v>
      </c>
      <c r="M36" s="147">
        <f>I36+J36-L36</f>
        <v>3136.08</v>
      </c>
      <c r="N36" s="163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</row>
    <row r="37" spans="1:97" ht="30" customHeight="1" x14ac:dyDescent="0.2">
      <c r="B37" s="159">
        <v>19</v>
      </c>
      <c r="C37" s="288"/>
      <c r="D37" s="150" t="s">
        <v>223</v>
      </c>
      <c r="E37" s="143" t="s">
        <v>125</v>
      </c>
      <c r="F37" s="144"/>
      <c r="G37" s="68">
        <v>15</v>
      </c>
      <c r="H37" s="147">
        <v>203.4666</v>
      </c>
      <c r="I37" s="146">
        <f>ROUND(G37*H37,2)</f>
        <v>3052</v>
      </c>
      <c r="J37" s="213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215">
        <v>0</v>
      </c>
      <c r="L37" s="215">
        <f>K37</f>
        <v>0</v>
      </c>
      <c r="M37" s="147">
        <f>I37+J37-L37</f>
        <v>3052</v>
      </c>
      <c r="N37" s="163"/>
    </row>
    <row r="38" spans="1:97" ht="30" customHeight="1" x14ac:dyDescent="0.2">
      <c r="B38" s="159"/>
      <c r="C38" s="288"/>
      <c r="D38" s="77"/>
      <c r="E38" s="70" t="s">
        <v>34</v>
      </c>
      <c r="F38" s="389"/>
      <c r="G38" s="390"/>
      <c r="H38" s="294"/>
      <c r="I38" s="149">
        <f>SUM(I34:I37)</f>
        <v>13300</v>
      </c>
      <c r="J38" s="149">
        <f>SUM(J34:J37)</f>
        <v>16.79</v>
      </c>
      <c r="K38" s="149">
        <f>SUM(K34:K37)</f>
        <v>404.95</v>
      </c>
      <c r="L38" s="149">
        <f>SUM(L34:L37)</f>
        <v>404.95</v>
      </c>
      <c r="M38" s="149">
        <f>SUM(M34:M37)</f>
        <v>12911.84</v>
      </c>
      <c r="N38" s="162"/>
    </row>
    <row r="39" spans="1:97" ht="30" customHeight="1" x14ac:dyDescent="0.2">
      <c r="B39" s="395" t="s">
        <v>79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7"/>
    </row>
    <row r="40" spans="1:97" s="5" customFormat="1" ht="30" customHeight="1" x14ac:dyDescent="0.2">
      <c r="B40" s="159">
        <v>20</v>
      </c>
      <c r="C40" s="288"/>
      <c r="D40" s="148" t="s">
        <v>224</v>
      </c>
      <c r="E40" s="143" t="s">
        <v>100</v>
      </c>
      <c r="F40" s="143"/>
      <c r="G40" s="68">
        <v>15</v>
      </c>
      <c r="H40" s="147">
        <v>366.8</v>
      </c>
      <c r="I40" s="146">
        <f>ROUND(G40*H40,2)</f>
        <v>5502</v>
      </c>
      <c r="J40" s="220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220">
        <f>IF(H40&lt;=207.44,0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442.73</v>
      </c>
      <c r="L40" s="215">
        <f>K40</f>
        <v>442.73</v>
      </c>
      <c r="M40" s="147">
        <f>I40+J40-L40</f>
        <v>5059.2700000000004</v>
      </c>
      <c r="N40" s="163"/>
    </row>
    <row r="41" spans="1:97" ht="30" customHeight="1" x14ac:dyDescent="0.2">
      <c r="B41" s="159">
        <v>21</v>
      </c>
      <c r="C41" s="288"/>
      <c r="D41" s="150" t="s">
        <v>225</v>
      </c>
      <c r="E41" s="143" t="s">
        <v>102</v>
      </c>
      <c r="F41" s="144"/>
      <c r="G41" s="68">
        <v>15</v>
      </c>
      <c r="H41" s="147">
        <v>303</v>
      </c>
      <c r="I41" s="146">
        <f>ROUND(G41*H41,2)</f>
        <v>4545</v>
      </c>
      <c r="J41" s="220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220">
        <f>IF(H41&lt;=207.44,0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338.03</v>
      </c>
      <c r="L41" s="215">
        <f>K41</f>
        <v>338.03</v>
      </c>
      <c r="M41" s="147">
        <f>I41+J41-L41</f>
        <v>4206.97</v>
      </c>
      <c r="N41" s="163"/>
    </row>
    <row r="42" spans="1:97" ht="30" customHeight="1" x14ac:dyDescent="0.2">
      <c r="B42" s="159"/>
      <c r="C42" s="288"/>
      <c r="D42" s="77"/>
      <c r="E42" s="70" t="s">
        <v>34</v>
      </c>
      <c r="F42" s="389"/>
      <c r="G42" s="390"/>
      <c r="H42" s="294"/>
      <c r="I42" s="149">
        <f>SUM(I40:I41)</f>
        <v>10047</v>
      </c>
      <c r="J42" s="214">
        <f>SUM(J40:J41)</f>
        <v>0</v>
      </c>
      <c r="K42" s="149">
        <f>SUM(K40:K41)</f>
        <v>780.76</v>
      </c>
      <c r="L42" s="149">
        <f>SUM(L40:L41)</f>
        <v>780.76</v>
      </c>
      <c r="M42" s="149">
        <f>SUM(M40:M41)</f>
        <v>9266.2400000000016</v>
      </c>
      <c r="N42" s="162"/>
    </row>
    <row r="43" spans="1:97" ht="30" customHeight="1" x14ac:dyDescent="0.2">
      <c r="B43" s="401" t="s">
        <v>44</v>
      </c>
      <c r="C43" s="402"/>
      <c r="D43" s="403"/>
      <c r="E43" s="403"/>
      <c r="F43" s="403"/>
      <c r="G43" s="403"/>
      <c r="H43" s="403"/>
      <c r="I43" s="403"/>
      <c r="J43" s="403"/>
      <c r="K43" s="403"/>
      <c r="L43" s="403"/>
      <c r="M43" s="403"/>
      <c r="N43" s="404"/>
    </row>
    <row r="44" spans="1:97" s="5" customFormat="1" ht="30" customHeight="1" x14ac:dyDescent="0.2">
      <c r="B44" s="159">
        <v>22</v>
      </c>
      <c r="C44" s="288"/>
      <c r="D44" s="150" t="s">
        <v>226</v>
      </c>
      <c r="E44" s="143" t="s">
        <v>36</v>
      </c>
      <c r="F44" s="144"/>
      <c r="G44" s="68">
        <v>15</v>
      </c>
      <c r="H44" s="147">
        <v>303</v>
      </c>
      <c r="I44" s="146">
        <f>ROUND(G44*H44,2)</f>
        <v>4545</v>
      </c>
      <c r="J44" s="222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220">
        <f>IF(H44&lt;=207.44,0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338.03</v>
      </c>
      <c r="L44" s="147">
        <f>K44</f>
        <v>338.03</v>
      </c>
      <c r="M44" s="147">
        <f>I44+J44-L44</f>
        <v>4206.97</v>
      </c>
      <c r="N44" s="163"/>
    </row>
    <row r="45" spans="1:97" s="91" customFormat="1" ht="30" customHeight="1" x14ac:dyDescent="0.2">
      <c r="A45" s="29"/>
      <c r="B45" s="159">
        <v>23</v>
      </c>
      <c r="C45" s="288" t="s">
        <v>448</v>
      </c>
      <c r="D45" s="150" t="s">
        <v>227</v>
      </c>
      <c r="E45" s="143" t="s">
        <v>43</v>
      </c>
      <c r="F45" s="143"/>
      <c r="G45" s="68">
        <v>15</v>
      </c>
      <c r="H45" s="147">
        <v>222.733</v>
      </c>
      <c r="I45" s="146">
        <f>ROUND(G45*H45,2)</f>
        <v>3341</v>
      </c>
      <c r="J45" s="213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147">
        <f>IF(H45&lt;=207.44,0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81.94</v>
      </c>
      <c r="L45" s="147">
        <f>K45</f>
        <v>81.94</v>
      </c>
      <c r="M45" s="147">
        <f>I45+J45-L45</f>
        <v>3259.06</v>
      </c>
      <c r="N45" s="163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</row>
    <row r="46" spans="1:97" ht="30" customHeight="1" x14ac:dyDescent="0.2">
      <c r="B46" s="159"/>
      <c r="C46" s="288"/>
      <c r="D46" s="77"/>
      <c r="E46" s="70" t="s">
        <v>34</v>
      </c>
      <c r="F46" s="389"/>
      <c r="G46" s="390"/>
      <c r="H46" s="294"/>
      <c r="I46" s="149">
        <f>SUM(I44:I45)</f>
        <v>7886</v>
      </c>
      <c r="J46" s="214">
        <f>SUM(J44:J45)</f>
        <v>0</v>
      </c>
      <c r="K46" s="149">
        <f>SUM(K44:K45)</f>
        <v>419.96999999999997</v>
      </c>
      <c r="L46" s="149">
        <f>SUM(L44:L45)</f>
        <v>419.96999999999997</v>
      </c>
      <c r="M46" s="149">
        <f>SUM(M44:M45)</f>
        <v>7466.0300000000007</v>
      </c>
      <c r="N46" s="162"/>
    </row>
    <row r="47" spans="1:97" ht="30" customHeight="1" x14ac:dyDescent="0.2">
      <c r="B47" s="395" t="s">
        <v>45</v>
      </c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7"/>
    </row>
    <row r="48" spans="1:97" s="91" customFormat="1" ht="30" customHeight="1" x14ac:dyDescent="0.2">
      <c r="A48" s="29"/>
      <c r="B48" s="159">
        <v>24</v>
      </c>
      <c r="C48" s="288" t="s">
        <v>448</v>
      </c>
      <c r="D48" s="150" t="s">
        <v>228</v>
      </c>
      <c r="E48" s="143" t="s">
        <v>36</v>
      </c>
      <c r="F48" s="144"/>
      <c r="G48" s="68">
        <v>15</v>
      </c>
      <c r="H48" s="147">
        <v>303</v>
      </c>
      <c r="I48" s="146">
        <f>ROUND(G48*H48,2)</f>
        <v>4545</v>
      </c>
      <c r="J48" s="220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220">
        <f>IF(H48&lt;=207.44,0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338.03</v>
      </c>
      <c r="L48" s="147">
        <f>K48</f>
        <v>338.03</v>
      </c>
      <c r="M48" s="147">
        <f>I48+J48-L48</f>
        <v>4206.97</v>
      </c>
      <c r="N48" s="163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</row>
    <row r="49" spans="1:97" ht="30" customHeight="1" x14ac:dyDescent="0.2">
      <c r="B49" s="159">
        <v>25</v>
      </c>
      <c r="C49" s="288"/>
      <c r="D49" s="150" t="s">
        <v>229</v>
      </c>
      <c r="E49" s="143" t="s">
        <v>122</v>
      </c>
      <c r="F49" s="144"/>
      <c r="G49" s="68">
        <v>15</v>
      </c>
      <c r="H49" s="147">
        <v>130.4</v>
      </c>
      <c r="I49" s="146">
        <f>ROUND(G49*H49,2)</f>
        <v>1956</v>
      </c>
      <c r="J49" s="220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80.02</v>
      </c>
      <c r="K49" s="220">
        <f>IF(H49&lt;=207.44,0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215">
        <v>0</v>
      </c>
      <c r="M49" s="147">
        <f>I49+J49-L49</f>
        <v>2036.02</v>
      </c>
      <c r="N49" s="163"/>
    </row>
    <row r="50" spans="1:97" ht="30" customHeight="1" x14ac:dyDescent="0.2">
      <c r="B50" s="159"/>
      <c r="C50" s="288"/>
      <c r="D50" s="77"/>
      <c r="E50" s="70" t="s">
        <v>34</v>
      </c>
      <c r="F50" s="389"/>
      <c r="G50" s="390"/>
      <c r="H50" s="294"/>
      <c r="I50" s="149">
        <f>SUM(I48:I49)</f>
        <v>6501</v>
      </c>
      <c r="J50" s="149">
        <f>SUM(J48:J49)</f>
        <v>80.02</v>
      </c>
      <c r="K50" s="149">
        <f>SUM(K48:K49)</f>
        <v>338.03</v>
      </c>
      <c r="L50" s="149">
        <f>SUM(L48:L49)</f>
        <v>338.03</v>
      </c>
      <c r="M50" s="149">
        <f>SUM(M48:M49)</f>
        <v>6242.99</v>
      </c>
      <c r="N50" s="162"/>
    </row>
    <row r="51" spans="1:97" s="5" customFormat="1" ht="30" customHeight="1" x14ac:dyDescent="0.2">
      <c r="B51" s="395" t="s">
        <v>84</v>
      </c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7"/>
    </row>
    <row r="52" spans="1:97" s="5" customFormat="1" ht="30" customHeight="1" x14ac:dyDescent="0.2">
      <c r="B52" s="159">
        <v>26</v>
      </c>
      <c r="C52" s="288"/>
      <c r="D52" s="150" t="s">
        <v>230</v>
      </c>
      <c r="E52" s="143" t="s">
        <v>36</v>
      </c>
      <c r="F52" s="144"/>
      <c r="G52" s="68">
        <v>15</v>
      </c>
      <c r="H52" s="147">
        <v>303</v>
      </c>
      <c r="I52" s="146">
        <f>G52*H52</f>
        <v>4545</v>
      </c>
      <c r="J52" s="220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220">
        <f>IF(H52&lt;=207.44,0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338.03</v>
      </c>
      <c r="L52" s="147">
        <f>K52</f>
        <v>338.03</v>
      </c>
      <c r="M52" s="147">
        <f>I52+J52-L52</f>
        <v>4206.97</v>
      </c>
      <c r="N52" s="163"/>
    </row>
    <row r="53" spans="1:97" s="5" customFormat="1" ht="30" customHeight="1" x14ac:dyDescent="0.2">
      <c r="B53" s="159"/>
      <c r="C53" s="288"/>
      <c r="D53" s="77"/>
      <c r="E53" s="70" t="s">
        <v>34</v>
      </c>
      <c r="F53" s="389"/>
      <c r="G53" s="390"/>
      <c r="H53" s="294"/>
      <c r="I53" s="149">
        <f>SUM(I52:I52)</f>
        <v>4545</v>
      </c>
      <c r="J53" s="214">
        <f>SUM(J52:J52)</f>
        <v>0</v>
      </c>
      <c r="K53" s="149">
        <f>SUM(K52:K52)</f>
        <v>338.03</v>
      </c>
      <c r="L53" s="149">
        <f>SUM(L52:L52)</f>
        <v>338.03</v>
      </c>
      <c r="M53" s="149">
        <f>SUM(M52:M52)</f>
        <v>4206.97</v>
      </c>
      <c r="N53" s="162"/>
    </row>
    <row r="54" spans="1:97" s="5" customFormat="1" ht="30" customHeight="1" x14ac:dyDescent="0.2">
      <c r="B54" s="401" t="s">
        <v>46</v>
      </c>
      <c r="C54" s="402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4"/>
    </row>
    <row r="55" spans="1:97" s="89" customFormat="1" ht="30" customHeight="1" x14ac:dyDescent="0.2">
      <c r="A55" s="5"/>
      <c r="B55" s="159">
        <v>27</v>
      </c>
      <c r="C55" s="288" t="s">
        <v>448</v>
      </c>
      <c r="D55" s="150" t="s">
        <v>231</v>
      </c>
      <c r="E55" s="143" t="s">
        <v>88</v>
      </c>
      <c r="F55" s="144"/>
      <c r="G55" s="68">
        <v>15</v>
      </c>
      <c r="H55" s="147">
        <v>160.83000000000001</v>
      </c>
      <c r="I55" s="146">
        <f>ROUND(G55*H55,2)</f>
        <v>2412.4499999999998</v>
      </c>
      <c r="J55" s="146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22.39</v>
      </c>
      <c r="K55" s="215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215">
        <f>K55</f>
        <v>0</v>
      </c>
      <c r="M55" s="147">
        <f>I55+J55-L55</f>
        <v>2434.8399999999997</v>
      </c>
      <c r="N55" s="16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59"/>
      <c r="C56" s="288"/>
      <c r="D56" s="77"/>
      <c r="E56" s="70" t="s">
        <v>34</v>
      </c>
      <c r="F56" s="70"/>
      <c r="G56" s="68"/>
      <c r="H56" s="294"/>
      <c r="I56" s="149">
        <f>SUM(I55:I55)</f>
        <v>2412.4499999999998</v>
      </c>
      <c r="J56" s="149">
        <f>SUM(J55:J55)</f>
        <v>22.39</v>
      </c>
      <c r="K56" s="214">
        <f>SUM(K55:K55)</f>
        <v>0</v>
      </c>
      <c r="L56" s="214">
        <f>SUM(L55:L55)</f>
        <v>0</v>
      </c>
      <c r="M56" s="149">
        <f>SUM(M55:M55)</f>
        <v>2434.8399999999997</v>
      </c>
      <c r="N56" s="162"/>
    </row>
    <row r="57" spans="1:97" ht="30" customHeight="1" x14ac:dyDescent="0.2">
      <c r="B57" s="395" t="s">
        <v>47</v>
      </c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7"/>
    </row>
    <row r="58" spans="1:97" s="5" customFormat="1" ht="30" customHeight="1" x14ac:dyDescent="0.2">
      <c r="B58" s="159">
        <v>28</v>
      </c>
      <c r="C58" s="288"/>
      <c r="D58" s="148" t="s">
        <v>311</v>
      </c>
      <c r="E58" s="143" t="s">
        <v>121</v>
      </c>
      <c r="F58" s="144"/>
      <c r="G58" s="68">
        <v>15</v>
      </c>
      <c r="H58" s="147">
        <v>448.4</v>
      </c>
      <c r="I58" s="146">
        <f t="shared" ref="I58:I63" si="0">ROUND(G58*H58,2)</f>
        <v>6726</v>
      </c>
      <c r="J58" s="220">
        <f t="shared" ref="J58:J63" si="1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220">
        <f t="shared" ref="K58:K63" si="2">IF(H58&lt;=207.44,0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645.16</v>
      </c>
      <c r="L58" s="147">
        <f t="shared" ref="L58:L63" si="3">K58</f>
        <v>645.16</v>
      </c>
      <c r="M58" s="147">
        <f t="shared" ref="M58:M63" si="4">I58+J58-L58</f>
        <v>6080.84</v>
      </c>
      <c r="N58" s="163"/>
    </row>
    <row r="59" spans="1:97" ht="30" customHeight="1" x14ac:dyDescent="0.2">
      <c r="B59" s="159">
        <v>29</v>
      </c>
      <c r="C59" s="288"/>
      <c r="D59" s="150" t="s">
        <v>312</v>
      </c>
      <c r="E59" s="143" t="s">
        <v>43</v>
      </c>
      <c r="F59" s="144"/>
      <c r="G59" s="68">
        <v>15</v>
      </c>
      <c r="H59" s="147">
        <v>251.93299999999999</v>
      </c>
      <c r="I59" s="146">
        <f t="shared" si="0"/>
        <v>3779</v>
      </c>
      <c r="J59" s="220">
        <f t="shared" si="1"/>
        <v>0</v>
      </c>
      <c r="K59" s="220">
        <f t="shared" si="2"/>
        <v>254.69</v>
      </c>
      <c r="L59" s="147">
        <f t="shared" si="3"/>
        <v>254.69</v>
      </c>
      <c r="M59" s="147">
        <f t="shared" si="4"/>
        <v>3524.31</v>
      </c>
      <c r="N59" s="163"/>
    </row>
    <row r="60" spans="1:97" ht="30" customHeight="1" x14ac:dyDescent="0.2">
      <c r="B60" s="159">
        <v>30</v>
      </c>
      <c r="C60" s="288"/>
      <c r="D60" s="150" t="s">
        <v>313</v>
      </c>
      <c r="E60" s="143" t="s">
        <v>48</v>
      </c>
      <c r="F60" s="144"/>
      <c r="G60" s="68">
        <v>15</v>
      </c>
      <c r="H60" s="147">
        <v>202.43</v>
      </c>
      <c r="I60" s="146">
        <f t="shared" si="0"/>
        <v>3036.45</v>
      </c>
      <c r="J60" s="220">
        <f t="shared" si="1"/>
        <v>0</v>
      </c>
      <c r="K60" s="220">
        <f t="shared" si="2"/>
        <v>0</v>
      </c>
      <c r="L60" s="215">
        <f t="shared" si="3"/>
        <v>0</v>
      </c>
      <c r="M60" s="147">
        <f t="shared" si="4"/>
        <v>3036.45</v>
      </c>
      <c r="N60" s="163"/>
    </row>
    <row r="61" spans="1:97" ht="30" customHeight="1" x14ac:dyDescent="0.2">
      <c r="B61" s="159">
        <v>31</v>
      </c>
      <c r="C61" s="288" t="s">
        <v>448</v>
      </c>
      <c r="D61" s="150" t="s">
        <v>314</v>
      </c>
      <c r="E61" s="143" t="s">
        <v>49</v>
      </c>
      <c r="F61" s="144"/>
      <c r="G61" s="68">
        <v>15</v>
      </c>
      <c r="H61" s="147">
        <v>254.18690000000001</v>
      </c>
      <c r="I61" s="146">
        <f t="shared" si="0"/>
        <v>3812.8</v>
      </c>
      <c r="J61" s="220">
        <f t="shared" si="1"/>
        <v>0</v>
      </c>
      <c r="K61" s="220">
        <f t="shared" si="2"/>
        <v>258.37</v>
      </c>
      <c r="L61" s="147">
        <f t="shared" si="3"/>
        <v>258.37</v>
      </c>
      <c r="M61" s="147">
        <f t="shared" si="4"/>
        <v>3554.4300000000003</v>
      </c>
      <c r="N61" s="163"/>
    </row>
    <row r="62" spans="1:97" ht="30" customHeight="1" x14ac:dyDescent="0.2">
      <c r="B62" s="159">
        <v>32</v>
      </c>
      <c r="C62" s="288" t="s">
        <v>448</v>
      </c>
      <c r="D62" s="150" t="s">
        <v>315</v>
      </c>
      <c r="E62" s="143" t="s">
        <v>49</v>
      </c>
      <c r="F62" s="144"/>
      <c r="G62" s="68">
        <v>15</v>
      </c>
      <c r="H62" s="147">
        <v>219.86660000000001</v>
      </c>
      <c r="I62" s="146">
        <f t="shared" si="0"/>
        <v>3298</v>
      </c>
      <c r="J62" s="220">
        <f t="shared" si="1"/>
        <v>0</v>
      </c>
      <c r="K62" s="220">
        <f t="shared" si="2"/>
        <v>77.260000000000005</v>
      </c>
      <c r="L62" s="147">
        <f t="shared" si="3"/>
        <v>77.260000000000005</v>
      </c>
      <c r="M62" s="147">
        <f t="shared" si="4"/>
        <v>3220.74</v>
      </c>
      <c r="N62" s="163"/>
    </row>
    <row r="63" spans="1:97" ht="30" customHeight="1" x14ac:dyDescent="0.2">
      <c r="B63" s="159">
        <v>33</v>
      </c>
      <c r="C63" s="288"/>
      <c r="D63" s="150" t="s">
        <v>316</v>
      </c>
      <c r="E63" s="143" t="s">
        <v>50</v>
      </c>
      <c r="F63" s="144"/>
      <c r="G63" s="68">
        <v>15</v>
      </c>
      <c r="H63" s="147">
        <v>370.03199999999998</v>
      </c>
      <c r="I63" s="146">
        <f t="shared" si="0"/>
        <v>5550.48</v>
      </c>
      <c r="J63" s="220">
        <f t="shared" si="1"/>
        <v>0</v>
      </c>
      <c r="K63" s="220">
        <f t="shared" si="2"/>
        <v>450.48</v>
      </c>
      <c r="L63" s="147">
        <f t="shared" si="3"/>
        <v>450.48</v>
      </c>
      <c r="M63" s="147">
        <f t="shared" si="4"/>
        <v>5100</v>
      </c>
      <c r="N63" s="163"/>
    </row>
    <row r="64" spans="1:97" ht="30" customHeight="1" x14ac:dyDescent="0.2">
      <c r="B64" s="159"/>
      <c r="C64" s="288"/>
      <c r="D64" s="77"/>
      <c r="E64" s="70" t="s">
        <v>34</v>
      </c>
      <c r="F64" s="389"/>
      <c r="G64" s="390"/>
      <c r="H64" s="294"/>
      <c r="I64" s="149">
        <f>SUM(I58:I63)</f>
        <v>26202.73</v>
      </c>
      <c r="J64" s="149">
        <f>SUM(J58:J63)</f>
        <v>0</v>
      </c>
      <c r="K64" s="149">
        <f>SUM(K58:K63)</f>
        <v>1685.9599999999998</v>
      </c>
      <c r="L64" s="149">
        <f>SUM(L58:L63)</f>
        <v>1685.9599999999998</v>
      </c>
      <c r="M64" s="149">
        <f>SUM(M58:M63)</f>
        <v>24516.769999999997</v>
      </c>
      <c r="N64" s="162"/>
    </row>
    <row r="65" spans="1:97" s="5" customFormat="1" ht="30" customHeight="1" x14ac:dyDescent="0.2">
      <c r="B65" s="401" t="s">
        <v>392</v>
      </c>
      <c r="C65" s="402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4"/>
    </row>
    <row r="66" spans="1:97" s="5" customFormat="1" ht="30" customHeight="1" x14ac:dyDescent="0.2">
      <c r="B66" s="159">
        <v>34</v>
      </c>
      <c r="C66" s="288"/>
      <c r="D66" s="150" t="s">
        <v>310</v>
      </c>
      <c r="E66" s="143" t="s">
        <v>36</v>
      </c>
      <c r="F66" s="143"/>
      <c r="G66" s="68">
        <v>15</v>
      </c>
      <c r="H66" s="147">
        <v>303</v>
      </c>
      <c r="I66" s="146">
        <f>ROUND(G66*H66,2)</f>
        <v>4545</v>
      </c>
      <c r="J66" s="220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220">
        <f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338.03</v>
      </c>
      <c r="L66" s="147">
        <f>K66</f>
        <v>338.03</v>
      </c>
      <c r="M66" s="147">
        <f>I66+J66-L66</f>
        <v>4206.97</v>
      </c>
      <c r="N66" s="163"/>
    </row>
    <row r="67" spans="1:97" s="5" customFormat="1" ht="30" customHeight="1" x14ac:dyDescent="0.2">
      <c r="B67" s="159"/>
      <c r="C67" s="288"/>
      <c r="D67" s="77"/>
      <c r="E67" s="70" t="s">
        <v>34</v>
      </c>
      <c r="F67" s="389"/>
      <c r="G67" s="390"/>
      <c r="H67" s="294"/>
      <c r="I67" s="149">
        <f>+I66</f>
        <v>4545</v>
      </c>
      <c r="J67" s="214">
        <f>+J66</f>
        <v>0</v>
      </c>
      <c r="K67" s="149">
        <f>+K66</f>
        <v>338.03</v>
      </c>
      <c r="L67" s="149">
        <f>+L66</f>
        <v>338.03</v>
      </c>
      <c r="M67" s="149">
        <f>+M66</f>
        <v>4206.97</v>
      </c>
      <c r="N67" s="162"/>
    </row>
    <row r="68" spans="1:97" ht="30" customHeight="1" x14ac:dyDescent="0.2">
      <c r="B68" s="395" t="s">
        <v>53</v>
      </c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7"/>
    </row>
    <row r="69" spans="1:97" ht="30" customHeight="1" x14ac:dyDescent="0.2">
      <c r="B69" s="159">
        <v>35</v>
      </c>
      <c r="C69" s="288"/>
      <c r="D69" s="150" t="s">
        <v>309</v>
      </c>
      <c r="E69" s="143" t="s">
        <v>52</v>
      </c>
      <c r="F69" s="144"/>
      <c r="G69" s="68">
        <v>15</v>
      </c>
      <c r="H69" s="147">
        <v>313.33300000000003</v>
      </c>
      <c r="I69" s="146">
        <f>ROUND(G69*H69,2)</f>
        <v>4700</v>
      </c>
      <c r="J69" s="22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220">
        <f>IF(H69&lt;=207.44,0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354.9</v>
      </c>
      <c r="L69" s="147">
        <f>K69</f>
        <v>354.9</v>
      </c>
      <c r="M69" s="147">
        <f>I69+J69-L69</f>
        <v>4345.1000000000004</v>
      </c>
      <c r="N69" s="163"/>
    </row>
    <row r="70" spans="1:97" ht="30" customHeight="1" x14ac:dyDescent="0.2">
      <c r="B70" s="159">
        <v>36</v>
      </c>
      <c r="C70" s="288"/>
      <c r="D70" s="150" t="s">
        <v>308</v>
      </c>
      <c r="E70" s="143" t="s">
        <v>110</v>
      </c>
      <c r="F70" s="144"/>
      <c r="G70" s="68">
        <v>15</v>
      </c>
      <c r="H70" s="147">
        <v>166.66659999999999</v>
      </c>
      <c r="I70" s="146">
        <f>ROUND(G70*H70,2)</f>
        <v>2500</v>
      </c>
      <c r="J70" s="220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16.79</v>
      </c>
      <c r="K70" s="220">
        <f>IF(H70&lt;=207.44,0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215">
        <f>K70</f>
        <v>0</v>
      </c>
      <c r="M70" s="147">
        <f>I70+J70-L70</f>
        <v>2516.79</v>
      </c>
      <c r="N70" s="163"/>
    </row>
    <row r="71" spans="1:97" ht="30" customHeight="1" x14ac:dyDescent="0.2">
      <c r="B71" s="159">
        <v>37</v>
      </c>
      <c r="C71" s="288"/>
      <c r="D71" s="150" t="s">
        <v>307</v>
      </c>
      <c r="E71" s="143" t="s">
        <v>120</v>
      </c>
      <c r="F71" s="143"/>
      <c r="G71" s="68">
        <v>15</v>
      </c>
      <c r="H71" s="147">
        <v>138.333</v>
      </c>
      <c r="I71" s="146">
        <f>ROUND(G71*H71,2)</f>
        <v>2075</v>
      </c>
      <c r="J71" s="220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72.41</v>
      </c>
      <c r="K71" s="220">
        <f>IF(H71&lt;=207.44,0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215">
        <f>K71</f>
        <v>0</v>
      </c>
      <c r="M71" s="147">
        <f>I71+J71-L71</f>
        <v>2147.41</v>
      </c>
      <c r="N71" s="163"/>
    </row>
    <row r="72" spans="1:97" ht="30" customHeight="1" x14ac:dyDescent="0.2">
      <c r="B72" s="159"/>
      <c r="C72" s="288"/>
      <c r="D72" s="77"/>
      <c r="E72" s="70" t="s">
        <v>34</v>
      </c>
      <c r="F72" s="389"/>
      <c r="G72" s="390"/>
      <c r="H72" s="294"/>
      <c r="I72" s="149">
        <f>SUM(I69:I71)</f>
        <v>9275</v>
      </c>
      <c r="J72" s="149">
        <f>SUM(J69:J71)</f>
        <v>89.199999999999989</v>
      </c>
      <c r="K72" s="149">
        <f>SUM(K69:K71)</f>
        <v>354.9</v>
      </c>
      <c r="L72" s="149">
        <f>SUM(L69:L71)</f>
        <v>354.9</v>
      </c>
      <c r="M72" s="149">
        <f>SUM(M69:M71)</f>
        <v>9009.2999999999993</v>
      </c>
      <c r="N72" s="162"/>
    </row>
    <row r="73" spans="1:97" ht="30" customHeight="1" x14ac:dyDescent="0.2">
      <c r="B73" s="395" t="s">
        <v>54</v>
      </c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7"/>
    </row>
    <row r="74" spans="1:97" s="5" customFormat="1" ht="30" customHeight="1" x14ac:dyDescent="0.2">
      <c r="B74" s="159">
        <v>38</v>
      </c>
      <c r="C74" s="288"/>
      <c r="D74" s="150" t="s">
        <v>173</v>
      </c>
      <c r="E74" s="143" t="s">
        <v>52</v>
      </c>
      <c r="F74" s="144"/>
      <c r="G74" s="68">
        <v>15</v>
      </c>
      <c r="H74" s="147">
        <v>313.33300000000003</v>
      </c>
      <c r="I74" s="146">
        <f>ROUND(G74*H74,2)</f>
        <v>4700</v>
      </c>
      <c r="J74" s="220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220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354.9</v>
      </c>
      <c r="L74" s="147">
        <f>K74</f>
        <v>354.9</v>
      </c>
      <c r="M74" s="147">
        <f>I74+J74-L74</f>
        <v>4345.1000000000004</v>
      </c>
      <c r="N74" s="163"/>
    </row>
    <row r="75" spans="1:97" s="91" customFormat="1" ht="30" customHeight="1" x14ac:dyDescent="0.2">
      <c r="A75" s="29"/>
      <c r="B75" s="159">
        <v>39</v>
      </c>
      <c r="C75" s="288"/>
      <c r="D75" s="150" t="s">
        <v>306</v>
      </c>
      <c r="E75" s="143" t="s">
        <v>41</v>
      </c>
      <c r="F75" s="144"/>
      <c r="G75" s="68">
        <v>15</v>
      </c>
      <c r="H75" s="147">
        <v>119.6666</v>
      </c>
      <c r="I75" s="146">
        <f>ROUND(G75*H75,2)</f>
        <v>1795</v>
      </c>
      <c r="J75" s="146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90.33</v>
      </c>
      <c r="K75" s="215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215">
        <f>K75</f>
        <v>0</v>
      </c>
      <c r="M75" s="147">
        <f>I75+J75-L75</f>
        <v>1885.33</v>
      </c>
      <c r="N75" s="163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</row>
    <row r="76" spans="1:97" ht="30" customHeight="1" x14ac:dyDescent="0.2">
      <c r="B76" s="159"/>
      <c r="C76" s="288"/>
      <c r="D76" s="77"/>
      <c r="E76" s="70" t="s">
        <v>34</v>
      </c>
      <c r="F76" s="389"/>
      <c r="G76" s="390"/>
      <c r="H76" s="294"/>
      <c r="I76" s="149">
        <f>SUM(I74:I75)</f>
        <v>6495</v>
      </c>
      <c r="J76" s="149">
        <f>SUM(J74:J75)</f>
        <v>90.33</v>
      </c>
      <c r="K76" s="149">
        <f>SUM(K74:K75)</f>
        <v>354.9</v>
      </c>
      <c r="L76" s="149">
        <f>SUM(L74:L75)</f>
        <v>354.9</v>
      </c>
      <c r="M76" s="149">
        <f>SUM(M74:M75)</f>
        <v>6230.43</v>
      </c>
      <c r="N76" s="162"/>
    </row>
    <row r="77" spans="1:97" s="36" customFormat="1" ht="30" customHeight="1" x14ac:dyDescent="0.2">
      <c r="A77" s="29"/>
      <c r="B77" s="401" t="s">
        <v>56</v>
      </c>
      <c r="C77" s="402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4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</row>
    <row r="78" spans="1:97" ht="30" customHeight="1" x14ac:dyDescent="0.2">
      <c r="B78" s="159">
        <v>40</v>
      </c>
      <c r="C78" s="288" t="s">
        <v>448</v>
      </c>
      <c r="D78" s="150" t="s">
        <v>484</v>
      </c>
      <c r="E78" s="143" t="s">
        <v>52</v>
      </c>
      <c r="F78" s="144"/>
      <c r="G78" s="68">
        <v>15</v>
      </c>
      <c r="H78" s="147">
        <v>267.53300000000002</v>
      </c>
      <c r="I78" s="146">
        <f>ROUND(G78*H78,2)</f>
        <v>4013</v>
      </c>
      <c r="J78" s="21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47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280.14999999999998</v>
      </c>
      <c r="L78" s="147">
        <f>K78</f>
        <v>280.14999999999998</v>
      </c>
      <c r="M78" s="147">
        <f>I78+J78-L78</f>
        <v>3732.85</v>
      </c>
      <c r="N78" s="163"/>
    </row>
    <row r="79" spans="1:97" ht="30" customHeight="1" x14ac:dyDescent="0.2">
      <c r="B79" s="159"/>
      <c r="C79" s="288"/>
      <c r="D79" s="80"/>
      <c r="E79" s="70" t="s">
        <v>34</v>
      </c>
      <c r="F79" s="389"/>
      <c r="G79" s="390"/>
      <c r="H79" s="294"/>
      <c r="I79" s="149">
        <f>SUM(I78:I78)</f>
        <v>4013</v>
      </c>
      <c r="J79" s="214">
        <f>SUM(J78:J78)</f>
        <v>0</v>
      </c>
      <c r="K79" s="149">
        <f>SUM(K78:K78)</f>
        <v>280.14999999999998</v>
      </c>
      <c r="L79" s="149">
        <f>SUM(L78:L78)</f>
        <v>280.14999999999998</v>
      </c>
      <c r="M79" s="149">
        <f>SUM(M78:M78)</f>
        <v>3732.85</v>
      </c>
      <c r="N79" s="162"/>
    </row>
    <row r="80" spans="1:97" s="36" customFormat="1" ht="30" customHeight="1" x14ac:dyDescent="0.2">
      <c r="A80" s="29"/>
      <c r="B80" s="401" t="s">
        <v>51</v>
      </c>
      <c r="C80" s="402"/>
      <c r="D80" s="403"/>
      <c r="E80" s="403"/>
      <c r="F80" s="403"/>
      <c r="G80" s="403"/>
      <c r="H80" s="403"/>
      <c r="I80" s="403"/>
      <c r="J80" s="403"/>
      <c r="K80" s="403"/>
      <c r="L80" s="403"/>
      <c r="M80" s="403"/>
      <c r="N80" s="404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</row>
    <row r="81" spans="1:97" s="91" customFormat="1" ht="30" customHeight="1" x14ac:dyDescent="0.2">
      <c r="A81" s="29"/>
      <c r="B81" s="159">
        <v>41</v>
      </c>
      <c r="C81" s="288"/>
      <c r="D81" s="150" t="s">
        <v>342</v>
      </c>
      <c r="E81" s="143" t="s">
        <v>52</v>
      </c>
      <c r="F81" s="144"/>
      <c r="G81" s="68">
        <v>15</v>
      </c>
      <c r="H81" s="147">
        <v>267.53300000000002</v>
      </c>
      <c r="I81" s="146">
        <f>ROUND(G81*H81,2)</f>
        <v>4013</v>
      </c>
      <c r="J81" s="21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47">
        <f>IF(H81&lt;=207.44,0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280.14999999999998</v>
      </c>
      <c r="L81" s="147">
        <f>K81</f>
        <v>280.14999999999998</v>
      </c>
      <c r="M81" s="147">
        <f>I81+J81-L81</f>
        <v>3732.85</v>
      </c>
      <c r="N81" s="163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</row>
    <row r="82" spans="1:97" ht="30" customHeight="1" x14ac:dyDescent="0.2">
      <c r="B82" s="159"/>
      <c r="C82" s="288"/>
      <c r="D82" s="80"/>
      <c r="E82" s="70" t="s">
        <v>34</v>
      </c>
      <c r="F82" s="389"/>
      <c r="G82" s="390"/>
      <c r="H82" s="294"/>
      <c r="I82" s="149">
        <f>SUM(I81:I81)</f>
        <v>4013</v>
      </c>
      <c r="J82" s="214">
        <f>SUM(J81:J81)</f>
        <v>0</v>
      </c>
      <c r="K82" s="149">
        <f>SUM(K81:K81)</f>
        <v>280.14999999999998</v>
      </c>
      <c r="L82" s="149">
        <f>SUM(L81:L81)</f>
        <v>280.14999999999998</v>
      </c>
      <c r="M82" s="149">
        <f>SUM(M81:M81)</f>
        <v>3732.85</v>
      </c>
      <c r="N82" s="162"/>
    </row>
    <row r="83" spans="1:97" ht="30" customHeight="1" x14ac:dyDescent="0.2">
      <c r="B83" s="401" t="s">
        <v>58</v>
      </c>
      <c r="C83" s="402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4"/>
    </row>
    <row r="84" spans="1:97" ht="30" customHeight="1" x14ac:dyDescent="0.2">
      <c r="B84" s="159">
        <v>42</v>
      </c>
      <c r="C84" s="288"/>
      <c r="D84" s="150" t="s">
        <v>305</v>
      </c>
      <c r="E84" s="143" t="s">
        <v>59</v>
      </c>
      <c r="F84" s="144"/>
      <c r="G84" s="68">
        <v>15</v>
      </c>
      <c r="H84" s="147">
        <v>205.8</v>
      </c>
      <c r="I84" s="146">
        <f>ROUND(G84*H84,2)</f>
        <v>3087</v>
      </c>
      <c r="J84" s="213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215">
        <f>IF(H84&lt;=207.44,0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215">
        <f>K84</f>
        <v>0</v>
      </c>
      <c r="M84" s="147">
        <f>I84+J84-L84</f>
        <v>3087</v>
      </c>
      <c r="N84" s="163"/>
    </row>
    <row r="85" spans="1:97" s="91" customFormat="1" ht="30" customHeight="1" x14ac:dyDescent="0.2">
      <c r="A85" s="29"/>
      <c r="B85" s="159">
        <v>43</v>
      </c>
      <c r="C85" s="288" t="s">
        <v>448</v>
      </c>
      <c r="D85" s="150" t="s">
        <v>304</v>
      </c>
      <c r="E85" s="143" t="s">
        <v>69</v>
      </c>
      <c r="F85" s="144"/>
      <c r="G85" s="68">
        <v>15</v>
      </c>
      <c r="H85" s="147">
        <v>220.86660000000001</v>
      </c>
      <c r="I85" s="146">
        <f>ROUND(G85*H85,2)</f>
        <v>3313</v>
      </c>
      <c r="J85" s="213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47">
        <f>IF(H85&lt;=207.44,0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78.89</v>
      </c>
      <c r="L85" s="147">
        <f>K85</f>
        <v>78.89</v>
      </c>
      <c r="M85" s="147">
        <f>I85+J85-L85</f>
        <v>3234.11</v>
      </c>
      <c r="N85" s="163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</row>
    <row r="86" spans="1:97" ht="30" customHeight="1" x14ac:dyDescent="0.2">
      <c r="B86" s="159"/>
      <c r="C86" s="288"/>
      <c r="D86" s="77"/>
      <c r="E86" s="70" t="s">
        <v>34</v>
      </c>
      <c r="F86" s="70"/>
      <c r="G86" s="70"/>
      <c r="H86" s="294"/>
      <c r="I86" s="149">
        <f>SUM(I84:I85)</f>
        <v>6400</v>
      </c>
      <c r="J86" s="214">
        <f>SUM(J84:J85)</f>
        <v>0</v>
      </c>
      <c r="K86" s="149">
        <f>SUM(K84:K85)</f>
        <v>78.89</v>
      </c>
      <c r="L86" s="149">
        <f>SUM(L84:L85)</f>
        <v>78.89</v>
      </c>
      <c r="M86" s="149">
        <f>SUM(M84:M85)</f>
        <v>6321.1100000000006</v>
      </c>
      <c r="N86" s="162"/>
    </row>
    <row r="87" spans="1:97" ht="30" customHeight="1" x14ac:dyDescent="0.2">
      <c r="B87" s="395" t="s">
        <v>60</v>
      </c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7"/>
    </row>
    <row r="88" spans="1:97" s="5" customFormat="1" ht="30" customHeight="1" x14ac:dyDescent="0.2">
      <c r="B88" s="159">
        <v>44</v>
      </c>
      <c r="C88" s="288"/>
      <c r="D88" s="148" t="s">
        <v>148</v>
      </c>
      <c r="E88" s="143" t="s">
        <v>36</v>
      </c>
      <c r="F88" s="143"/>
      <c r="G88" s="68">
        <v>15</v>
      </c>
      <c r="H88" s="147">
        <v>575.53300000000002</v>
      </c>
      <c r="I88" s="146">
        <f>ROUND(G88*H88,2)</f>
        <v>8633</v>
      </c>
      <c r="J88" s="213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147">
        <f>IF(H88&lt;=207.44,0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1020.98</v>
      </c>
      <c r="L88" s="147">
        <f>K88</f>
        <v>1020.98</v>
      </c>
      <c r="M88" s="147">
        <f>I88+J88-L88</f>
        <v>7612.02</v>
      </c>
      <c r="N88" s="163"/>
    </row>
    <row r="89" spans="1:97" s="91" customFormat="1" ht="30" customHeight="1" x14ac:dyDescent="0.2">
      <c r="A89" s="29"/>
      <c r="B89" s="159">
        <v>45</v>
      </c>
      <c r="C89" s="288" t="s">
        <v>448</v>
      </c>
      <c r="D89" s="150" t="s">
        <v>303</v>
      </c>
      <c r="E89" s="143" t="s">
        <v>43</v>
      </c>
      <c r="F89" s="144"/>
      <c r="G89" s="68">
        <v>15</v>
      </c>
      <c r="H89" s="147">
        <v>166.66659999999999</v>
      </c>
      <c r="I89" s="146">
        <f>ROUND(G89*H89,2)</f>
        <v>2500</v>
      </c>
      <c r="J89" s="146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16.79</v>
      </c>
      <c r="K89" s="215">
        <f>IF(H89&lt;=207.44,0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215">
        <v>0</v>
      </c>
      <c r="M89" s="147">
        <f>I89+J89-L89</f>
        <v>2516.79</v>
      </c>
      <c r="N89" s="163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</row>
    <row r="90" spans="1:97" s="5" customFormat="1" ht="30" customHeight="1" x14ac:dyDescent="0.2">
      <c r="B90" s="159">
        <v>46</v>
      </c>
      <c r="C90" s="288"/>
      <c r="D90" s="150" t="s">
        <v>302</v>
      </c>
      <c r="E90" s="143" t="s">
        <v>85</v>
      </c>
      <c r="F90" s="144"/>
      <c r="G90" s="68">
        <v>15</v>
      </c>
      <c r="H90" s="147">
        <v>291.33300000000003</v>
      </c>
      <c r="I90" s="146">
        <f>ROUND(G90*H90,2)</f>
        <v>4370</v>
      </c>
      <c r="J90" s="213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147">
        <f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318.99</v>
      </c>
      <c r="L90" s="147">
        <f>K90</f>
        <v>318.99</v>
      </c>
      <c r="M90" s="147">
        <f>I90+J90-L90</f>
        <v>4051.01</v>
      </c>
      <c r="N90" s="163"/>
    </row>
    <row r="91" spans="1:97" ht="30" customHeight="1" x14ac:dyDescent="0.2">
      <c r="B91" s="159"/>
      <c r="C91" s="288"/>
      <c r="D91" s="77"/>
      <c r="E91" s="70" t="s">
        <v>34</v>
      </c>
      <c r="F91" s="389"/>
      <c r="G91" s="390"/>
      <c r="H91" s="294"/>
      <c r="I91" s="149">
        <f>SUM(I88:I90)</f>
        <v>15503</v>
      </c>
      <c r="J91" s="149">
        <f>SUM(J88:J90)</f>
        <v>16.79</v>
      </c>
      <c r="K91" s="149">
        <f>SUM(K88:K90)</f>
        <v>1339.97</v>
      </c>
      <c r="L91" s="149">
        <f>SUM(L88:L90)</f>
        <v>1339.97</v>
      </c>
      <c r="M91" s="149">
        <f>SUM(M88:M90)</f>
        <v>14179.820000000002</v>
      </c>
      <c r="N91" s="162"/>
    </row>
    <row r="92" spans="1:97" ht="30" customHeight="1" x14ac:dyDescent="0.2">
      <c r="B92" s="401" t="s">
        <v>78</v>
      </c>
      <c r="C92" s="402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4"/>
    </row>
    <row r="93" spans="1:97" ht="30" customHeight="1" x14ac:dyDescent="0.2">
      <c r="B93" s="159">
        <v>47</v>
      </c>
      <c r="C93" s="288"/>
      <c r="D93" s="150" t="s">
        <v>301</v>
      </c>
      <c r="E93" s="143" t="s">
        <v>36</v>
      </c>
      <c r="F93" s="144"/>
      <c r="G93" s="68">
        <v>15</v>
      </c>
      <c r="H93" s="147">
        <v>303</v>
      </c>
      <c r="I93" s="146">
        <f>ROUND(G93*H93,2)</f>
        <v>4545</v>
      </c>
      <c r="J93" s="213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147">
        <f>IF(H93&lt;=207.44,0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338.03</v>
      </c>
      <c r="L93" s="147">
        <f>K93</f>
        <v>338.03</v>
      </c>
      <c r="M93" s="147">
        <f>I93+J93-L93</f>
        <v>4206.97</v>
      </c>
      <c r="N93" s="163"/>
    </row>
    <row r="94" spans="1:97" ht="30" customHeight="1" x14ac:dyDescent="0.2">
      <c r="B94" s="159"/>
      <c r="C94" s="288"/>
      <c r="D94" s="77"/>
      <c r="E94" s="70" t="s">
        <v>34</v>
      </c>
      <c r="F94" s="280"/>
      <c r="G94" s="281"/>
      <c r="H94" s="294"/>
      <c r="I94" s="149">
        <f>SUM(I93:I93)</f>
        <v>4545</v>
      </c>
      <c r="J94" s="214">
        <f>SUM(J93:J93)</f>
        <v>0</v>
      </c>
      <c r="K94" s="149">
        <f>SUM(K93:K93)</f>
        <v>338.03</v>
      </c>
      <c r="L94" s="149">
        <f>SUM(L93:L93)</f>
        <v>338.03</v>
      </c>
      <c r="M94" s="149">
        <f>SUM(M93:M93)</f>
        <v>4206.97</v>
      </c>
      <c r="N94" s="162"/>
    </row>
    <row r="95" spans="1:97" ht="30" customHeight="1" x14ac:dyDescent="0.2">
      <c r="B95" s="401" t="s">
        <v>91</v>
      </c>
      <c r="C95" s="402"/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4"/>
    </row>
    <row r="96" spans="1:97" s="91" customFormat="1" ht="30" customHeight="1" x14ac:dyDescent="0.2">
      <c r="A96" s="29"/>
      <c r="B96" s="159">
        <v>48</v>
      </c>
      <c r="C96" s="288" t="s">
        <v>448</v>
      </c>
      <c r="D96" s="150" t="s">
        <v>300</v>
      </c>
      <c r="E96" s="143" t="s">
        <v>36</v>
      </c>
      <c r="F96" s="144"/>
      <c r="G96" s="68">
        <v>15</v>
      </c>
      <c r="H96" s="147">
        <v>448.4</v>
      </c>
      <c r="I96" s="146">
        <f>ROUND(G96*H96,2)</f>
        <v>6726</v>
      </c>
      <c r="J96" s="213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47">
        <f>IF(H96&lt;=207.44,0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645.16</v>
      </c>
      <c r="L96" s="147">
        <f>K96</f>
        <v>645.16</v>
      </c>
      <c r="M96" s="147">
        <f>I96+J96-L96</f>
        <v>6080.84</v>
      </c>
      <c r="N96" s="163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</row>
    <row r="97" spans="2:14" ht="30" customHeight="1" x14ac:dyDescent="0.2">
      <c r="B97" s="159">
        <v>49</v>
      </c>
      <c r="C97" s="288"/>
      <c r="D97" s="150" t="s">
        <v>189</v>
      </c>
      <c r="E97" s="143" t="s">
        <v>43</v>
      </c>
      <c r="F97" s="295"/>
      <c r="G97" s="68">
        <v>15</v>
      </c>
      <c r="H97" s="147">
        <v>166.66659999999999</v>
      </c>
      <c r="I97" s="146">
        <f>ROUND(G97*H97,2)</f>
        <v>2500</v>
      </c>
      <c r="J97" s="146">
        <f>IFERROR(IF(ROUND((((I97/G97*30.4)-VLOOKUP((I97/G97*30.4),TARIFA,1))*VLOOKUP((I97/G97*30.4),TARIFA,3)+VLOOKUP((I97/G97*30.4),TARIFA,2)-VLOOKUP((I97/G97*30.4),SUBSIDIO,2))/30.4*G97,2)&lt;0,ROUND(-(((I97/G97*30.4)-VLOOKUP((I97/G97*30.4),TARIFA,1))*VLOOKUP((I97/G97*30.4),TARIFA,3)+VLOOKUP((I97/G97*30.4),TARIFA,2)-VLOOKUP((I97/G97*30.4),SUBSIDIO,2))/30.4*G97,2),0),0)</f>
        <v>16.79</v>
      </c>
      <c r="K97" s="215">
        <f>IF(H97&lt;=207.44,0,(IFERROR(IF(ROUND((((I97/G97*30.4)-VLOOKUP((I97/G97*30.4),TARIFA,1))*VLOOKUP((I97/G97*30.4),TARIFA,3)+VLOOKUP((I97/G97*30.4),TARIFA,2)-VLOOKUP((I97/G97*30.4),SUBSIDIO,2))/30.4*G97,2)&gt;0,ROUND((((I97/G97*30.4)-VLOOKUP((I97/G97*30.4),TARIFA,1))*VLOOKUP((I97/G97*30.4),TARIFA,3)+VLOOKUP((I97/G97*30.4),TARIFA,2)-VLOOKUP((I97/G97*30.4),SUBSIDIO,2))/30.4*G97,2),0),0)))</f>
        <v>0</v>
      </c>
      <c r="L97" s="215">
        <f>K97</f>
        <v>0</v>
      </c>
      <c r="M97" s="147">
        <f>I97+J97-L97</f>
        <v>2516.79</v>
      </c>
      <c r="N97" s="163"/>
    </row>
    <row r="98" spans="2:14" ht="30" customHeight="1" x14ac:dyDescent="0.2">
      <c r="B98" s="159"/>
      <c r="C98" s="288"/>
      <c r="D98" s="77"/>
      <c r="E98" s="70" t="s">
        <v>34</v>
      </c>
      <c r="F98" s="389"/>
      <c r="G98" s="390"/>
      <c r="H98" s="294"/>
      <c r="I98" s="149">
        <f>SUM(I96:I97)</f>
        <v>9226</v>
      </c>
      <c r="J98" s="149">
        <f>SUM(J96:J97)</f>
        <v>16.79</v>
      </c>
      <c r="K98" s="149">
        <f>SUM(K96:K97)</f>
        <v>645.16</v>
      </c>
      <c r="L98" s="149">
        <f>SUM(L96:L97)</f>
        <v>645.16</v>
      </c>
      <c r="M98" s="149">
        <f>SUM(M96:M97)</f>
        <v>8597.630000000001</v>
      </c>
      <c r="N98" s="162"/>
    </row>
    <row r="99" spans="2:14" ht="30" customHeight="1" x14ac:dyDescent="0.2">
      <c r="B99" s="410" t="s">
        <v>113</v>
      </c>
      <c r="C99" s="390"/>
      <c r="D99" s="411"/>
      <c r="E99" s="411"/>
      <c r="F99" s="411"/>
      <c r="G99" s="411"/>
      <c r="H99" s="411"/>
      <c r="I99" s="411"/>
      <c r="J99" s="411"/>
      <c r="K99" s="411"/>
      <c r="L99" s="411"/>
      <c r="M99" s="411"/>
      <c r="N99" s="412"/>
    </row>
    <row r="100" spans="2:14" s="5" customFormat="1" ht="30" customHeight="1" x14ac:dyDescent="0.2">
      <c r="B100" s="159">
        <v>50</v>
      </c>
      <c r="C100" s="288"/>
      <c r="D100" s="150" t="s">
        <v>299</v>
      </c>
      <c r="E100" s="143" t="s">
        <v>123</v>
      </c>
      <c r="F100" s="144"/>
      <c r="G100" s="68">
        <v>15</v>
      </c>
      <c r="H100" s="147">
        <v>303</v>
      </c>
      <c r="I100" s="146">
        <f>G100*H100</f>
        <v>4545</v>
      </c>
      <c r="J100" s="213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47">
        <f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338.03</v>
      </c>
      <c r="L100" s="147">
        <f>K100</f>
        <v>338.03</v>
      </c>
      <c r="M100" s="147">
        <f>I100+J100-L100</f>
        <v>4206.97</v>
      </c>
      <c r="N100" s="163"/>
    </row>
    <row r="101" spans="2:14" ht="30" customHeight="1" x14ac:dyDescent="0.2">
      <c r="B101" s="159"/>
      <c r="C101" s="288"/>
      <c r="D101" s="77"/>
      <c r="E101" s="70" t="s">
        <v>34</v>
      </c>
      <c r="F101" s="389"/>
      <c r="G101" s="390"/>
      <c r="H101" s="294"/>
      <c r="I101" s="149">
        <f>SUM(I100:I100)</f>
        <v>4545</v>
      </c>
      <c r="J101" s="214">
        <f>SUM(J100:J100)</f>
        <v>0</v>
      </c>
      <c r="K101" s="149">
        <f>SUM(K100:K100)</f>
        <v>338.03</v>
      </c>
      <c r="L101" s="149">
        <f>SUM(L100:L100)</f>
        <v>338.03</v>
      </c>
      <c r="M101" s="149">
        <f>SUM(M100:M100)</f>
        <v>4206.97</v>
      </c>
      <c r="N101" s="162"/>
    </row>
    <row r="102" spans="2:14" ht="14.25" customHeight="1" x14ac:dyDescent="0.2">
      <c r="B102" s="413"/>
      <c r="C102" s="414"/>
      <c r="D102" s="414"/>
      <c r="E102" s="414"/>
      <c r="F102" s="414"/>
      <c r="G102" s="414"/>
      <c r="H102" s="414"/>
      <c r="I102" s="414"/>
      <c r="J102" s="414"/>
      <c r="K102" s="414"/>
      <c r="L102" s="414"/>
      <c r="M102" s="414"/>
      <c r="N102" s="415"/>
    </row>
    <row r="103" spans="2:14" ht="20.25" customHeight="1" x14ac:dyDescent="0.2">
      <c r="B103" s="407" t="s">
        <v>17</v>
      </c>
      <c r="C103" s="408"/>
      <c r="D103" s="409"/>
      <c r="E103" s="409"/>
      <c r="F103" s="409"/>
      <c r="G103" s="409"/>
      <c r="H103" s="409"/>
      <c r="I103" s="149">
        <f t="shared" ref="I103:N103" si="5">+I14+I17+I21+I28+I32+I38+I42+I46+I50+I53+I56+I64+I67+I72+I76+I79+I86+I91+I94+I98+I101+I82</f>
        <v>229656.36000000002</v>
      </c>
      <c r="J103" s="149">
        <f t="shared" si="5"/>
        <v>332.31</v>
      </c>
      <c r="K103" s="149">
        <f t="shared" si="5"/>
        <v>17613.04</v>
      </c>
      <c r="L103" s="149">
        <f t="shared" si="5"/>
        <v>17613.04</v>
      </c>
      <c r="M103" s="149">
        <f t="shared" si="5"/>
        <v>212375.63000000003</v>
      </c>
      <c r="N103" s="164">
        <f t="shared" si="5"/>
        <v>0</v>
      </c>
    </row>
    <row r="104" spans="2:14" ht="20.100000000000001" customHeight="1" x14ac:dyDescent="0.2">
      <c r="B104" s="167"/>
      <c r="C104" s="165"/>
      <c r="D104" s="165"/>
      <c r="E104" s="165"/>
      <c r="F104" s="165"/>
      <c r="G104" s="165"/>
      <c r="H104" s="165"/>
      <c r="I104" s="166"/>
      <c r="J104" s="166"/>
      <c r="K104" s="166"/>
      <c r="L104" s="166"/>
      <c r="M104" s="166"/>
      <c r="N104" s="168"/>
    </row>
    <row r="105" spans="2:14" ht="20.100000000000001" customHeight="1" x14ac:dyDescent="0.2">
      <c r="B105" s="167"/>
      <c r="C105" s="165"/>
      <c r="D105" s="165"/>
      <c r="E105" s="165"/>
      <c r="F105" s="165"/>
      <c r="G105" s="165"/>
      <c r="H105" s="165"/>
      <c r="I105" s="166"/>
      <c r="J105" s="166"/>
      <c r="K105" s="166"/>
      <c r="L105" s="166"/>
      <c r="M105" s="166"/>
      <c r="N105" s="168"/>
    </row>
    <row r="106" spans="2:14" ht="20.100000000000001" customHeight="1" x14ac:dyDescent="0.2">
      <c r="B106" s="167"/>
      <c r="C106" s="165"/>
      <c r="D106" s="165"/>
      <c r="E106" s="165"/>
      <c r="F106" s="165"/>
      <c r="G106" s="165"/>
      <c r="H106" s="165"/>
      <c r="I106" s="166"/>
      <c r="J106" s="166"/>
      <c r="K106" s="166"/>
      <c r="L106" s="166"/>
      <c r="M106" s="166"/>
      <c r="N106" s="168"/>
    </row>
    <row r="107" spans="2:14" ht="20.100000000000001" customHeight="1" x14ac:dyDescent="0.2">
      <c r="B107" s="167"/>
      <c r="C107" s="165"/>
      <c r="D107" s="165"/>
      <c r="E107" s="165"/>
      <c r="F107" s="165"/>
      <c r="G107" s="165"/>
      <c r="H107" s="165"/>
      <c r="I107" s="166"/>
      <c r="J107" s="166"/>
      <c r="K107" s="166"/>
      <c r="L107" s="166"/>
      <c r="M107" s="166"/>
      <c r="N107" s="168"/>
    </row>
    <row r="108" spans="2:14" ht="13.5" x14ac:dyDescent="0.2">
      <c r="B108" s="137"/>
      <c r="C108" s="5"/>
      <c r="D108" s="127" t="s">
        <v>393</v>
      </c>
      <c r="E108" s="5"/>
      <c r="F108" s="5"/>
      <c r="G108" s="5"/>
      <c r="H108" s="5"/>
      <c r="I108" s="35"/>
      <c r="L108" s="127" t="s">
        <v>372</v>
      </c>
      <c r="M108" s="127"/>
      <c r="N108" s="122"/>
    </row>
    <row r="109" spans="2:14" ht="13.5" thickBot="1" x14ac:dyDescent="0.25">
      <c r="B109" s="138"/>
      <c r="C109" s="140"/>
      <c r="D109" s="405" t="s">
        <v>371</v>
      </c>
      <c r="E109" s="405"/>
      <c r="F109" s="140"/>
      <c r="G109" s="140"/>
      <c r="H109" s="140"/>
      <c r="I109" s="141"/>
      <c r="J109" s="178"/>
      <c r="K109" s="178"/>
      <c r="L109" s="405" t="s">
        <v>373</v>
      </c>
      <c r="M109" s="405"/>
      <c r="N109" s="406"/>
    </row>
    <row r="110" spans="2:14" x14ac:dyDescent="0.2">
      <c r="N110" s="24"/>
    </row>
    <row r="112" spans="2:14" x14ac:dyDescent="0.2">
      <c r="L112" s="25" t="s">
        <v>97</v>
      </c>
      <c r="M112" s="216">
        <f>M10+M31+M34+M36+M45+M48+M55+M61+M78+M85+M89+M96+M62</f>
        <v>47272.51</v>
      </c>
      <c r="N112" s="364"/>
    </row>
    <row r="113" spans="5:13" x14ac:dyDescent="0.2">
      <c r="L113" s="25" t="s">
        <v>98</v>
      </c>
      <c r="M113" s="216">
        <f>M9+M11+M12+M13+M16+M19+M20+M23+M24+M25+M26+M27+M30+M35+M37+M40+M41+M44+M49+M52+M58+M59+M60+M63+M66+M69+M70+M71+M74+M75+M81+M84+M88+M90+M93+M97+M100</f>
        <v>165103.12000000002</v>
      </c>
    </row>
    <row r="114" spans="5:13" x14ac:dyDescent="0.2">
      <c r="E114" s="38" t="s">
        <v>444</v>
      </c>
      <c r="M114" s="216">
        <f>SUM(M112:M113)</f>
        <v>212375.63000000003</v>
      </c>
    </row>
    <row r="116" spans="5:13" x14ac:dyDescent="0.2">
      <c r="L116" s="25" t="s">
        <v>384</v>
      </c>
      <c r="M116" s="217">
        <f>M103-M114</f>
        <v>0</v>
      </c>
    </row>
  </sheetData>
  <mergeCells count="47"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  <mergeCell ref="B87:N87"/>
    <mergeCell ref="B73:N73"/>
    <mergeCell ref="F53:G53"/>
    <mergeCell ref="F72:G72"/>
    <mergeCell ref="F64:G64"/>
    <mergeCell ref="F67:G67"/>
    <mergeCell ref="B54:N54"/>
    <mergeCell ref="B65:N65"/>
    <mergeCell ref="D109:E109"/>
    <mergeCell ref="L109:N109"/>
    <mergeCell ref="F101:G101"/>
    <mergeCell ref="F98:G98"/>
    <mergeCell ref="F91:G91"/>
    <mergeCell ref="B103:H103"/>
    <mergeCell ref="B95:N95"/>
    <mergeCell ref="B99:N99"/>
    <mergeCell ref="B92:N92"/>
    <mergeCell ref="B102:N102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E2:K2"/>
    <mergeCell ref="E5:K5"/>
    <mergeCell ref="L5:N5"/>
    <mergeCell ref="F14:G14"/>
    <mergeCell ref="D7:J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7"/>
  <sheetViews>
    <sheetView showGridLines="0" topLeftCell="A129" zoomScale="80" zoomScaleNormal="80" workbookViewId="0">
      <selection activeCell="F138" sqref="F138"/>
    </sheetView>
  </sheetViews>
  <sheetFormatPr baseColWidth="10" defaultColWidth="11.42578125" defaultRowHeight="18" x14ac:dyDescent="0.2"/>
  <cols>
    <col min="1" max="1" width="4.5703125" style="29" customWidth="1"/>
    <col min="2" max="2" width="4.5703125" style="4" customWidth="1"/>
    <col min="3" max="3" width="5.28515625" style="4" customWidth="1"/>
    <col min="4" max="4" width="38.5703125" style="96" customWidth="1"/>
    <col min="5" max="5" width="20.140625" style="8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9"/>
  </cols>
  <sheetData>
    <row r="1" spans="1:15" ht="14.25" x14ac:dyDescent="0.2">
      <c r="A1" s="29">
        <v>0</v>
      </c>
      <c r="B1" s="179"/>
      <c r="C1" s="285"/>
      <c r="D1" s="180"/>
      <c r="E1" s="181"/>
      <c r="F1" s="182"/>
      <c r="G1" s="182"/>
      <c r="H1" s="182"/>
      <c r="I1" s="182"/>
      <c r="J1" s="182"/>
      <c r="K1" s="366"/>
      <c r="L1" s="182"/>
      <c r="M1" s="182"/>
      <c r="N1" s="183"/>
    </row>
    <row r="2" spans="1:15" ht="24" customHeight="1" x14ac:dyDescent="0.2">
      <c r="B2" s="184"/>
      <c r="C2" s="286"/>
      <c r="D2" s="87"/>
      <c r="E2" s="385" t="s">
        <v>378</v>
      </c>
      <c r="F2" s="385"/>
      <c r="G2" s="385"/>
      <c r="H2" s="385"/>
      <c r="I2" s="385"/>
      <c r="J2" s="385"/>
      <c r="K2" s="385"/>
      <c r="L2" s="185"/>
      <c r="M2" s="185"/>
      <c r="N2" s="186"/>
      <c r="O2" s="52"/>
    </row>
    <row r="3" spans="1:15" ht="14.25" x14ac:dyDescent="0.2">
      <c r="B3" s="184"/>
      <c r="C3" s="286"/>
      <c r="D3" s="87"/>
      <c r="E3" s="187"/>
      <c r="F3" s="185"/>
      <c r="G3" s="185"/>
      <c r="H3" s="185"/>
      <c r="I3" s="185"/>
      <c r="J3" s="185"/>
      <c r="K3" s="185"/>
      <c r="L3" s="185"/>
      <c r="M3" s="185"/>
      <c r="N3" s="186"/>
      <c r="O3" s="52"/>
    </row>
    <row r="4" spans="1:15" ht="14.25" x14ac:dyDescent="0.2">
      <c r="B4" s="184"/>
      <c r="C4" s="286"/>
      <c r="D4" s="87"/>
      <c r="E4" s="187"/>
      <c r="F4" s="185"/>
      <c r="G4" s="185"/>
      <c r="H4" s="185"/>
      <c r="I4" s="185"/>
      <c r="J4" s="185"/>
      <c r="K4" s="185"/>
      <c r="L4" s="185"/>
      <c r="M4" s="185"/>
      <c r="N4" s="186"/>
      <c r="O4" s="52"/>
    </row>
    <row r="5" spans="1:15" ht="20.25" x14ac:dyDescent="0.2">
      <c r="B5" s="188"/>
      <c r="C5" s="42"/>
      <c r="D5" s="87"/>
      <c r="E5" s="385" t="s">
        <v>382</v>
      </c>
      <c r="F5" s="385"/>
      <c r="G5" s="385"/>
      <c r="H5" s="385"/>
      <c r="I5" s="385"/>
      <c r="J5" s="385"/>
      <c r="K5" s="385"/>
      <c r="L5" s="387"/>
      <c r="M5" s="387"/>
      <c r="N5" s="388"/>
      <c r="O5" s="52"/>
    </row>
    <row r="6" spans="1:15" ht="36.75" customHeight="1" thickBot="1" x14ac:dyDescent="0.25">
      <c r="B6" s="189"/>
      <c r="C6" s="51"/>
      <c r="D6" s="423" t="s">
        <v>486</v>
      </c>
      <c r="E6" s="423"/>
      <c r="F6" s="423"/>
      <c r="G6" s="423"/>
      <c r="H6" s="423"/>
      <c r="I6" s="423"/>
      <c r="J6" s="423"/>
      <c r="K6" s="190"/>
      <c r="L6" s="190"/>
      <c r="M6" s="190"/>
      <c r="N6" s="191"/>
      <c r="O6" s="52"/>
    </row>
    <row r="7" spans="1:15" ht="30" customHeight="1" x14ac:dyDescent="0.2">
      <c r="B7" s="153" t="s">
        <v>370</v>
      </c>
      <c r="C7" s="287" t="s">
        <v>448</v>
      </c>
      <c r="D7" s="154" t="s">
        <v>14</v>
      </c>
      <c r="E7" s="154" t="s">
        <v>363</v>
      </c>
      <c r="F7" s="154" t="s">
        <v>364</v>
      </c>
      <c r="G7" s="154" t="s">
        <v>367</v>
      </c>
      <c r="H7" s="154" t="s">
        <v>369</v>
      </c>
      <c r="I7" s="155" t="s">
        <v>365</v>
      </c>
      <c r="J7" s="154" t="s">
        <v>390</v>
      </c>
      <c r="K7" s="154" t="s">
        <v>391</v>
      </c>
      <c r="L7" s="156" t="s">
        <v>366</v>
      </c>
      <c r="M7" s="156" t="s">
        <v>377</v>
      </c>
      <c r="N7" s="172" t="s">
        <v>376</v>
      </c>
      <c r="O7" s="52"/>
    </row>
    <row r="8" spans="1:15" s="90" customFormat="1" ht="30" customHeight="1" x14ac:dyDescent="0.2">
      <c r="A8" s="5"/>
      <c r="B8" s="282">
        <v>1</v>
      </c>
      <c r="C8" s="296" t="s">
        <v>448</v>
      </c>
      <c r="D8" s="283" t="s">
        <v>142</v>
      </c>
      <c r="E8" s="283" t="s">
        <v>86</v>
      </c>
      <c r="F8" s="284"/>
      <c r="G8" s="284">
        <v>15</v>
      </c>
      <c r="H8" s="276">
        <v>400</v>
      </c>
      <c r="I8" s="169">
        <f t="shared" ref="I8:I15" si="0">ROUND(G8*H8,2)</f>
        <v>6000</v>
      </c>
      <c r="J8" s="223">
        <f t="shared" ref="J8:J15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69">
        <f t="shared" ref="K8:K15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522.41</v>
      </c>
      <c r="L8" s="169">
        <f t="shared" ref="L8:L14" si="3">K8</f>
        <v>522.41</v>
      </c>
      <c r="M8" s="169">
        <f>I8+J8-L8</f>
        <v>5477.59</v>
      </c>
      <c r="N8" s="173"/>
      <c r="O8" s="102"/>
    </row>
    <row r="9" spans="1:15" s="28" customFormat="1" ht="30" customHeight="1" x14ac:dyDescent="0.2">
      <c r="A9" s="29"/>
      <c r="B9" s="282">
        <v>2</v>
      </c>
      <c r="C9" s="296" t="s">
        <v>448</v>
      </c>
      <c r="D9" s="283" t="s">
        <v>233</v>
      </c>
      <c r="E9" s="283" t="s">
        <v>92</v>
      </c>
      <c r="F9" s="81"/>
      <c r="G9" s="284">
        <v>15</v>
      </c>
      <c r="H9" s="276">
        <v>271.2</v>
      </c>
      <c r="I9" s="169">
        <f t="shared" si="0"/>
        <v>4068</v>
      </c>
      <c r="J9" s="223">
        <f t="shared" si="1"/>
        <v>0</v>
      </c>
      <c r="K9" s="169">
        <f t="shared" si="2"/>
        <v>286.14</v>
      </c>
      <c r="L9" s="169">
        <f t="shared" si="3"/>
        <v>286.14</v>
      </c>
      <c r="M9" s="169">
        <f t="shared" ref="M9:M15" si="4">I9+J9-L9</f>
        <v>3781.86</v>
      </c>
      <c r="N9" s="173"/>
      <c r="O9" s="102"/>
    </row>
    <row r="10" spans="1:15" s="28" customFormat="1" ht="30" customHeight="1" x14ac:dyDescent="0.2">
      <c r="A10" s="29"/>
      <c r="B10" s="282">
        <v>3</v>
      </c>
      <c r="C10" s="296" t="s">
        <v>448</v>
      </c>
      <c r="D10" s="283" t="s">
        <v>234</v>
      </c>
      <c r="E10" s="283" t="s">
        <v>55</v>
      </c>
      <c r="F10" s="81"/>
      <c r="G10" s="284">
        <v>15</v>
      </c>
      <c r="H10" s="276">
        <v>127.834</v>
      </c>
      <c r="I10" s="169">
        <f t="shared" si="0"/>
        <v>1917.51</v>
      </c>
      <c r="J10" s="169">
        <f t="shared" si="1"/>
        <v>82.49</v>
      </c>
      <c r="K10" s="223">
        <f t="shared" si="2"/>
        <v>0</v>
      </c>
      <c r="L10" s="223">
        <f t="shared" si="3"/>
        <v>0</v>
      </c>
      <c r="M10" s="169">
        <f t="shared" si="4"/>
        <v>2000</v>
      </c>
      <c r="N10" s="173"/>
      <c r="O10" s="102"/>
    </row>
    <row r="11" spans="1:15" s="90" customFormat="1" ht="30" customHeight="1" x14ac:dyDescent="0.2">
      <c r="A11" s="5"/>
      <c r="B11" s="282">
        <v>4</v>
      </c>
      <c r="C11" s="296" t="s">
        <v>448</v>
      </c>
      <c r="D11" s="283" t="s">
        <v>187</v>
      </c>
      <c r="E11" s="283" t="s">
        <v>42</v>
      </c>
      <c r="F11" s="81"/>
      <c r="G11" s="284">
        <v>15</v>
      </c>
      <c r="H11" s="276">
        <v>189.53319999999999</v>
      </c>
      <c r="I11" s="169">
        <f t="shared" si="0"/>
        <v>2843</v>
      </c>
      <c r="J11" s="223">
        <f t="shared" si="1"/>
        <v>0</v>
      </c>
      <c r="K11" s="223">
        <f t="shared" si="2"/>
        <v>0</v>
      </c>
      <c r="L11" s="223">
        <f t="shared" si="3"/>
        <v>0</v>
      </c>
      <c r="M11" s="169">
        <f t="shared" si="4"/>
        <v>2843</v>
      </c>
      <c r="N11" s="173"/>
      <c r="O11" s="102"/>
    </row>
    <row r="12" spans="1:15" s="90" customFormat="1" ht="30" customHeight="1" x14ac:dyDescent="0.2">
      <c r="A12" s="5"/>
      <c r="B12" s="282">
        <v>5</v>
      </c>
      <c r="C12" s="296" t="s">
        <v>448</v>
      </c>
      <c r="D12" s="283" t="s">
        <v>450</v>
      </c>
      <c r="E12" s="283" t="s">
        <v>451</v>
      </c>
      <c r="F12" s="81"/>
      <c r="G12" s="284">
        <v>15</v>
      </c>
      <c r="H12" s="276">
        <v>127.834</v>
      </c>
      <c r="I12" s="169">
        <f>ROUND(G12*H12,2)</f>
        <v>1917.51</v>
      </c>
      <c r="J12" s="223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82.49</v>
      </c>
      <c r="K12" s="223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223">
        <f>K12</f>
        <v>0</v>
      </c>
      <c r="M12" s="169">
        <f>I12+J12-L12</f>
        <v>2000</v>
      </c>
      <c r="N12" s="173"/>
      <c r="O12" s="102"/>
    </row>
    <row r="13" spans="1:15" s="90" customFormat="1" ht="30" customHeight="1" x14ac:dyDescent="0.2">
      <c r="A13" s="5"/>
      <c r="B13" s="282">
        <v>6</v>
      </c>
      <c r="C13" s="296" t="s">
        <v>448</v>
      </c>
      <c r="D13" s="283" t="s">
        <v>235</v>
      </c>
      <c r="E13" s="283" t="s">
        <v>43</v>
      </c>
      <c r="F13" s="81"/>
      <c r="G13" s="284">
        <v>15</v>
      </c>
      <c r="H13" s="276">
        <v>186.66659999999999</v>
      </c>
      <c r="I13" s="169">
        <f t="shared" si="0"/>
        <v>2800</v>
      </c>
      <c r="J13" s="223">
        <f t="shared" si="1"/>
        <v>0</v>
      </c>
      <c r="K13" s="223">
        <f t="shared" si="2"/>
        <v>0</v>
      </c>
      <c r="L13" s="223">
        <f t="shared" si="3"/>
        <v>0</v>
      </c>
      <c r="M13" s="169">
        <f t="shared" si="4"/>
        <v>2800</v>
      </c>
      <c r="N13" s="173"/>
      <c r="O13" s="102"/>
    </row>
    <row r="14" spans="1:15" s="90" customFormat="1" ht="30" customHeight="1" x14ac:dyDescent="0.2">
      <c r="A14" s="5"/>
      <c r="B14" s="282">
        <v>7</v>
      </c>
      <c r="C14" s="296" t="s">
        <v>448</v>
      </c>
      <c r="D14" s="283" t="s">
        <v>343</v>
      </c>
      <c r="E14" s="283" t="s">
        <v>43</v>
      </c>
      <c r="F14" s="81"/>
      <c r="G14" s="284">
        <v>15</v>
      </c>
      <c r="H14" s="276">
        <v>185.6</v>
      </c>
      <c r="I14" s="169">
        <f t="shared" si="0"/>
        <v>2784</v>
      </c>
      <c r="J14" s="223">
        <f t="shared" si="1"/>
        <v>0</v>
      </c>
      <c r="K14" s="223">
        <f t="shared" si="2"/>
        <v>0</v>
      </c>
      <c r="L14" s="223">
        <f t="shared" si="3"/>
        <v>0</v>
      </c>
      <c r="M14" s="169">
        <f t="shared" si="4"/>
        <v>2784</v>
      </c>
      <c r="N14" s="173"/>
      <c r="O14" s="102"/>
    </row>
    <row r="15" spans="1:15" s="28" customFormat="1" ht="41.1" customHeight="1" x14ac:dyDescent="0.2">
      <c r="A15" s="29"/>
      <c r="B15" s="282">
        <v>8</v>
      </c>
      <c r="C15" s="296"/>
      <c r="D15" s="283" t="s">
        <v>237</v>
      </c>
      <c r="E15" s="297" t="s">
        <v>351</v>
      </c>
      <c r="F15" s="81"/>
      <c r="G15" s="284">
        <v>15</v>
      </c>
      <c r="H15" s="276">
        <v>303</v>
      </c>
      <c r="I15" s="169">
        <f t="shared" si="0"/>
        <v>4545</v>
      </c>
      <c r="J15" s="223">
        <f t="shared" si="1"/>
        <v>0</v>
      </c>
      <c r="K15" s="169">
        <f t="shared" si="2"/>
        <v>338.03</v>
      </c>
      <c r="L15" s="169">
        <f>K15</f>
        <v>338.03</v>
      </c>
      <c r="M15" s="169">
        <f t="shared" si="4"/>
        <v>4206.97</v>
      </c>
      <c r="N15" s="173"/>
      <c r="O15" s="102"/>
    </row>
    <row r="16" spans="1:15" s="28" customFormat="1" ht="30" customHeight="1" x14ac:dyDescent="0.2">
      <c r="A16" s="29"/>
      <c r="B16" s="282"/>
      <c r="C16" s="296"/>
      <c r="D16" s="283"/>
      <c r="E16" s="298" t="s">
        <v>34</v>
      </c>
      <c r="F16" s="416"/>
      <c r="G16" s="417"/>
      <c r="H16" s="418"/>
      <c r="I16" s="170">
        <f>SUM(I8:I15)</f>
        <v>26875.02</v>
      </c>
      <c r="J16" s="170">
        <f t="shared" ref="J16:N16" si="5">SUM(J8:J15)</f>
        <v>164.98</v>
      </c>
      <c r="K16" s="170">
        <f t="shared" si="5"/>
        <v>1146.58</v>
      </c>
      <c r="L16" s="170">
        <f t="shared" si="5"/>
        <v>1146.58</v>
      </c>
      <c r="M16" s="170">
        <f>SUM(M8:M15)</f>
        <v>25893.420000000002</v>
      </c>
      <c r="N16" s="174">
        <f t="shared" si="5"/>
        <v>0</v>
      </c>
      <c r="O16" s="102"/>
    </row>
    <row r="17" spans="1:15" ht="30" customHeight="1" x14ac:dyDescent="0.2">
      <c r="B17" s="419" t="s">
        <v>95</v>
      </c>
      <c r="C17" s="420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2"/>
      <c r="O17" s="52"/>
    </row>
    <row r="18" spans="1:15" ht="30" customHeight="1" x14ac:dyDescent="0.2">
      <c r="B18" s="282">
        <v>9</v>
      </c>
      <c r="C18" s="296"/>
      <c r="D18" s="283" t="s">
        <v>236</v>
      </c>
      <c r="E18" s="283" t="s">
        <v>96</v>
      </c>
      <c r="F18" s="81"/>
      <c r="G18" s="284">
        <v>15</v>
      </c>
      <c r="H18" s="299">
        <v>551.4</v>
      </c>
      <c r="I18" s="169">
        <f>ROUND(G18*H18,2)</f>
        <v>8271</v>
      </c>
      <c r="J18" s="223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169">
        <f>IF(H18&lt;=207.44,0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943.66</v>
      </c>
      <c r="L18" s="169">
        <f>K18</f>
        <v>943.66</v>
      </c>
      <c r="M18" s="169">
        <f>I18+J18-L18</f>
        <v>7327.34</v>
      </c>
      <c r="N18" s="175"/>
      <c r="O18" s="52"/>
    </row>
    <row r="19" spans="1:15" ht="30" customHeight="1" x14ac:dyDescent="0.2">
      <c r="B19" s="282"/>
      <c r="C19" s="296"/>
      <c r="D19" s="283"/>
      <c r="E19" s="298" t="s">
        <v>34</v>
      </c>
      <c r="F19" s="416"/>
      <c r="G19" s="417"/>
      <c r="H19" s="418"/>
      <c r="I19" s="170">
        <f t="shared" ref="I19:N19" si="6">+I18</f>
        <v>8271</v>
      </c>
      <c r="J19" s="224">
        <f t="shared" si="6"/>
        <v>0</v>
      </c>
      <c r="K19" s="170">
        <f t="shared" si="6"/>
        <v>943.66</v>
      </c>
      <c r="L19" s="170">
        <f t="shared" si="6"/>
        <v>943.66</v>
      </c>
      <c r="M19" s="170">
        <f t="shared" si="6"/>
        <v>7327.34</v>
      </c>
      <c r="N19" s="174">
        <f t="shared" si="6"/>
        <v>0</v>
      </c>
      <c r="O19" s="52"/>
    </row>
    <row r="20" spans="1:15" s="28" customFormat="1" ht="30" customHeight="1" x14ac:dyDescent="0.2">
      <c r="A20" s="29"/>
      <c r="B20" s="419" t="s">
        <v>35</v>
      </c>
      <c r="C20" s="420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2"/>
      <c r="O20" s="102"/>
    </row>
    <row r="21" spans="1:15" s="28" customFormat="1" ht="30" customHeight="1" x14ac:dyDescent="0.2">
      <c r="A21" s="29"/>
      <c r="B21" s="282">
        <v>10</v>
      </c>
      <c r="C21" s="296"/>
      <c r="D21" s="283" t="s">
        <v>238</v>
      </c>
      <c r="E21" s="283" t="s">
        <v>133</v>
      </c>
      <c r="F21" s="81"/>
      <c r="G21" s="284">
        <v>15</v>
      </c>
      <c r="H21" s="299">
        <v>271.06659999999999</v>
      </c>
      <c r="I21" s="169">
        <f>ROUND(G21*H21,2)</f>
        <v>4066</v>
      </c>
      <c r="J21" s="223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69">
        <f>IF(H21&lt;=207.44,0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285.92</v>
      </c>
      <c r="L21" s="169">
        <f>K21</f>
        <v>285.92</v>
      </c>
      <c r="M21" s="169">
        <f>I21+J21-L21</f>
        <v>3780.08</v>
      </c>
      <c r="N21" s="173"/>
      <c r="O21" s="102"/>
    </row>
    <row r="22" spans="1:15" s="31" customFormat="1" ht="30" customHeight="1" x14ac:dyDescent="0.2">
      <c r="A22" s="26"/>
      <c r="B22" s="282">
        <v>11</v>
      </c>
      <c r="C22" s="296"/>
      <c r="D22" s="283" t="s">
        <v>239</v>
      </c>
      <c r="E22" s="283" t="s">
        <v>134</v>
      </c>
      <c r="F22" s="81"/>
      <c r="G22" s="284">
        <v>15</v>
      </c>
      <c r="H22" s="299">
        <v>271.06659999999999</v>
      </c>
      <c r="I22" s="169">
        <f>ROUND(G22*H22,2)</f>
        <v>4066</v>
      </c>
      <c r="J22" s="223">
        <f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169">
        <f>IF(H22&lt;=207.44,0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285.92</v>
      </c>
      <c r="L22" s="169">
        <f>K22</f>
        <v>285.92</v>
      </c>
      <c r="M22" s="169">
        <f>I22+J22-L22</f>
        <v>3780.08</v>
      </c>
      <c r="N22" s="173"/>
      <c r="O22" s="103"/>
    </row>
    <row r="23" spans="1:15" s="31" customFormat="1" ht="30" customHeight="1" x14ac:dyDescent="0.2">
      <c r="A23" s="26"/>
      <c r="B23" s="282">
        <v>12</v>
      </c>
      <c r="C23" s="296"/>
      <c r="D23" s="283" t="s">
        <v>352</v>
      </c>
      <c r="E23" s="283" t="s">
        <v>178</v>
      </c>
      <c r="F23" s="82"/>
      <c r="G23" s="284">
        <v>15</v>
      </c>
      <c r="H23" s="299">
        <v>303</v>
      </c>
      <c r="I23" s="169">
        <f>ROUND(G23*H23,2)</f>
        <v>4545</v>
      </c>
      <c r="J23" s="22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69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69">
        <f>K23</f>
        <v>338.03</v>
      </c>
      <c r="M23" s="169">
        <f>I23+J23-L23</f>
        <v>4206.97</v>
      </c>
      <c r="N23" s="173"/>
      <c r="O23" s="103"/>
    </row>
    <row r="24" spans="1:15" s="31" customFormat="1" ht="30" customHeight="1" x14ac:dyDescent="0.2">
      <c r="A24" s="26"/>
      <c r="B24" s="282">
        <v>13</v>
      </c>
      <c r="C24" s="296" t="s">
        <v>448</v>
      </c>
      <c r="D24" s="283" t="s">
        <v>460</v>
      </c>
      <c r="E24" s="283" t="s">
        <v>43</v>
      </c>
      <c r="F24" s="82"/>
      <c r="G24" s="284">
        <v>15</v>
      </c>
      <c r="H24" s="299">
        <v>271.06659999999999</v>
      </c>
      <c r="I24" s="169">
        <f>ROUND(G24*H24,2)</f>
        <v>4066</v>
      </c>
      <c r="J24" s="22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69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285.92</v>
      </c>
      <c r="L24" s="169">
        <f>K24</f>
        <v>285.92</v>
      </c>
      <c r="M24" s="169">
        <f>I24+J24-L24</f>
        <v>3780.08</v>
      </c>
      <c r="N24" s="173"/>
      <c r="O24" s="103"/>
    </row>
    <row r="25" spans="1:15" s="28" customFormat="1" ht="30" customHeight="1" x14ac:dyDescent="0.2">
      <c r="A25" s="29"/>
      <c r="B25" s="300"/>
      <c r="C25" s="301"/>
      <c r="D25" s="302"/>
      <c r="E25" s="298" t="s">
        <v>34</v>
      </c>
      <c r="F25" s="416"/>
      <c r="G25" s="417"/>
      <c r="H25" s="418"/>
      <c r="I25" s="170">
        <f>SUM(I21:I24)</f>
        <v>16743</v>
      </c>
      <c r="J25" s="224">
        <f>SUM(J21:J24)</f>
        <v>0</v>
      </c>
      <c r="K25" s="170">
        <f>SUM(K21:K24)</f>
        <v>1195.79</v>
      </c>
      <c r="L25" s="170">
        <f>SUM(L21:L24)</f>
        <v>1195.79</v>
      </c>
      <c r="M25" s="170">
        <f>SUM(M21:M24)</f>
        <v>15547.210000000001</v>
      </c>
      <c r="N25" s="174">
        <f>SUM(N21:N23)</f>
        <v>0</v>
      </c>
      <c r="O25" s="102"/>
    </row>
    <row r="26" spans="1:15" ht="30" customHeight="1" x14ac:dyDescent="0.2">
      <c r="B26" s="419" t="s">
        <v>37</v>
      </c>
      <c r="C26" s="420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2"/>
      <c r="O26" s="52"/>
    </row>
    <row r="27" spans="1:15" ht="30" customHeight="1" x14ac:dyDescent="0.2">
      <c r="B27" s="282">
        <v>14</v>
      </c>
      <c r="C27" s="296"/>
      <c r="D27" s="283" t="s">
        <v>240</v>
      </c>
      <c r="E27" s="283" t="s">
        <v>62</v>
      </c>
      <c r="F27" s="81"/>
      <c r="G27" s="284">
        <v>15</v>
      </c>
      <c r="H27" s="276">
        <v>284.33300000000003</v>
      </c>
      <c r="I27" s="169">
        <f t="shared" ref="I27:I32" si="7">ROUND(G27*H27,2)</f>
        <v>4265</v>
      </c>
      <c r="J27" s="223">
        <f t="shared" ref="J27:J32" si="8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69">
        <f t="shared" ref="K27:K32" si="9"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307.57</v>
      </c>
      <c r="L27" s="169">
        <f t="shared" ref="L27:L32" si="10">K27</f>
        <v>307.57</v>
      </c>
      <c r="M27" s="169">
        <f t="shared" ref="M27:M32" si="11">I27+J27-L27</f>
        <v>3957.43</v>
      </c>
      <c r="N27" s="173"/>
      <c r="O27" s="52"/>
    </row>
    <row r="28" spans="1:15" ht="30" customHeight="1" x14ac:dyDescent="0.2">
      <c r="B28" s="282">
        <v>15</v>
      </c>
      <c r="C28" s="296"/>
      <c r="D28" s="283" t="s">
        <v>241</v>
      </c>
      <c r="E28" s="283" t="s">
        <v>111</v>
      </c>
      <c r="F28" s="81"/>
      <c r="G28" s="284">
        <v>15</v>
      </c>
      <c r="H28" s="276">
        <v>189.6</v>
      </c>
      <c r="I28" s="169">
        <f t="shared" si="7"/>
        <v>2844</v>
      </c>
      <c r="J28" s="223">
        <f t="shared" si="8"/>
        <v>0</v>
      </c>
      <c r="K28" s="223">
        <f t="shared" si="9"/>
        <v>0</v>
      </c>
      <c r="L28" s="223">
        <f t="shared" si="10"/>
        <v>0</v>
      </c>
      <c r="M28" s="169">
        <f t="shared" si="11"/>
        <v>2844</v>
      </c>
      <c r="N28" s="173"/>
      <c r="O28" s="52"/>
    </row>
    <row r="29" spans="1:15" s="91" customFormat="1" ht="30" customHeight="1" x14ac:dyDescent="0.2">
      <c r="A29" s="29"/>
      <c r="B29" s="282">
        <v>16</v>
      </c>
      <c r="C29" s="296" t="s">
        <v>448</v>
      </c>
      <c r="D29" s="283" t="s">
        <v>242</v>
      </c>
      <c r="E29" s="283" t="s">
        <v>55</v>
      </c>
      <c r="F29" s="284"/>
      <c r="G29" s="284">
        <v>15</v>
      </c>
      <c r="H29" s="276">
        <v>100</v>
      </c>
      <c r="I29" s="169">
        <f t="shared" si="7"/>
        <v>1500</v>
      </c>
      <c r="J29" s="169">
        <f t="shared" si="8"/>
        <v>121.13</v>
      </c>
      <c r="K29" s="223">
        <f t="shared" si="9"/>
        <v>0</v>
      </c>
      <c r="L29" s="223">
        <f t="shared" si="10"/>
        <v>0</v>
      </c>
      <c r="M29" s="169">
        <f t="shared" si="11"/>
        <v>1621.13</v>
      </c>
      <c r="N29" s="173"/>
      <c r="O29" s="52"/>
    </row>
    <row r="30" spans="1:15" ht="30" customHeight="1" x14ac:dyDescent="0.2">
      <c r="B30" s="282">
        <v>17</v>
      </c>
      <c r="C30" s="296"/>
      <c r="D30" s="283" t="s">
        <v>243</v>
      </c>
      <c r="E30" s="283" t="s">
        <v>43</v>
      </c>
      <c r="F30" s="81"/>
      <c r="G30" s="284">
        <v>15</v>
      </c>
      <c r="H30" s="276">
        <v>100</v>
      </c>
      <c r="I30" s="169">
        <f t="shared" si="7"/>
        <v>1500</v>
      </c>
      <c r="J30" s="169">
        <f t="shared" si="8"/>
        <v>121.13</v>
      </c>
      <c r="K30" s="223">
        <f t="shared" si="9"/>
        <v>0</v>
      </c>
      <c r="L30" s="223">
        <f t="shared" si="10"/>
        <v>0</v>
      </c>
      <c r="M30" s="169">
        <f t="shared" si="11"/>
        <v>1621.13</v>
      </c>
      <c r="N30" s="173"/>
      <c r="O30" s="52"/>
    </row>
    <row r="31" spans="1:15" s="91" customFormat="1" ht="30" customHeight="1" x14ac:dyDescent="0.2">
      <c r="A31" s="29"/>
      <c r="B31" s="282">
        <v>18</v>
      </c>
      <c r="C31" s="296" t="s">
        <v>448</v>
      </c>
      <c r="D31" s="283" t="s">
        <v>348</v>
      </c>
      <c r="E31" s="283" t="s">
        <v>349</v>
      </c>
      <c r="F31" s="303"/>
      <c r="G31" s="284">
        <v>15</v>
      </c>
      <c r="H31" s="276">
        <v>448.4</v>
      </c>
      <c r="I31" s="169">
        <f t="shared" si="7"/>
        <v>6726</v>
      </c>
      <c r="J31" s="223">
        <f t="shared" si="8"/>
        <v>0</v>
      </c>
      <c r="K31" s="169">
        <f t="shared" si="9"/>
        <v>645.16</v>
      </c>
      <c r="L31" s="169">
        <f t="shared" si="10"/>
        <v>645.16</v>
      </c>
      <c r="M31" s="169">
        <f>I31+J31-L31</f>
        <v>6080.84</v>
      </c>
      <c r="N31" s="173"/>
      <c r="O31" s="52"/>
    </row>
    <row r="32" spans="1:15" s="91" customFormat="1" ht="30" customHeight="1" x14ac:dyDescent="0.2">
      <c r="A32" s="29"/>
      <c r="B32" s="282">
        <v>19</v>
      </c>
      <c r="C32" s="296"/>
      <c r="D32" s="283" t="s">
        <v>443</v>
      </c>
      <c r="E32" s="283" t="s">
        <v>43</v>
      </c>
      <c r="F32" s="303"/>
      <c r="G32" s="284">
        <v>15</v>
      </c>
      <c r="H32" s="276">
        <v>86.67</v>
      </c>
      <c r="I32" s="169">
        <f t="shared" si="7"/>
        <v>1300.05</v>
      </c>
      <c r="J32" s="223">
        <f t="shared" si="8"/>
        <v>134.03</v>
      </c>
      <c r="K32" s="169">
        <f t="shared" si="9"/>
        <v>0</v>
      </c>
      <c r="L32" s="169">
        <f t="shared" si="10"/>
        <v>0</v>
      </c>
      <c r="M32" s="169">
        <f t="shared" si="11"/>
        <v>1434.08</v>
      </c>
      <c r="N32" s="173"/>
      <c r="O32" s="52"/>
    </row>
    <row r="33" spans="1:15" ht="30" customHeight="1" x14ac:dyDescent="0.2">
      <c r="B33" s="282"/>
      <c r="C33" s="296"/>
      <c r="D33" s="283"/>
      <c r="E33" s="298" t="s">
        <v>34</v>
      </c>
      <c r="F33" s="416"/>
      <c r="G33" s="417"/>
      <c r="H33" s="418"/>
      <c r="I33" s="170">
        <f t="shared" ref="I33:N33" si="12">SUM(I27:I32)</f>
        <v>18135.05</v>
      </c>
      <c r="J33" s="170">
        <f t="shared" si="12"/>
        <v>376.28999999999996</v>
      </c>
      <c r="K33" s="170">
        <f t="shared" si="12"/>
        <v>952.73</v>
      </c>
      <c r="L33" s="170">
        <f t="shared" si="12"/>
        <v>952.73</v>
      </c>
      <c r="M33" s="170">
        <f t="shared" si="12"/>
        <v>17558.61</v>
      </c>
      <c r="N33" s="174">
        <f t="shared" si="12"/>
        <v>0</v>
      </c>
      <c r="O33" s="52"/>
    </row>
    <row r="34" spans="1:15" ht="30" customHeight="1" x14ac:dyDescent="0.2">
      <c r="B34" s="419" t="s">
        <v>40</v>
      </c>
      <c r="C34" s="420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2"/>
      <c r="O34" s="52"/>
    </row>
    <row r="35" spans="1:15" ht="30" customHeight="1" x14ac:dyDescent="0.2">
      <c r="B35" s="282">
        <v>20</v>
      </c>
      <c r="C35" s="296"/>
      <c r="D35" s="283" t="s">
        <v>244</v>
      </c>
      <c r="E35" s="283" t="s">
        <v>43</v>
      </c>
      <c r="F35" s="284"/>
      <c r="G35" s="284">
        <v>15</v>
      </c>
      <c r="H35" s="276">
        <v>100</v>
      </c>
      <c r="I35" s="169">
        <f>ROUND(G35*H35,2)</f>
        <v>1500</v>
      </c>
      <c r="J35" s="169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121.13</v>
      </c>
      <c r="K35" s="223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223">
        <f>K35</f>
        <v>0</v>
      </c>
      <c r="M35" s="169">
        <f>I35+J35-L35</f>
        <v>1621.13</v>
      </c>
      <c r="N35" s="173"/>
      <c r="O35" s="52"/>
    </row>
    <row r="36" spans="1:15" s="91" customFormat="1" ht="30" customHeight="1" x14ac:dyDescent="0.2">
      <c r="A36" s="29"/>
      <c r="B36" s="282">
        <v>21</v>
      </c>
      <c r="C36" s="296" t="s">
        <v>448</v>
      </c>
      <c r="D36" s="283" t="s">
        <v>245</v>
      </c>
      <c r="E36" s="283" t="s">
        <v>43</v>
      </c>
      <c r="F36" s="81"/>
      <c r="G36" s="284">
        <v>15</v>
      </c>
      <c r="H36" s="276">
        <v>120</v>
      </c>
      <c r="I36" s="169">
        <f>ROUND(G36*H36,2)</f>
        <v>1800</v>
      </c>
      <c r="J36" s="169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90.01</v>
      </c>
      <c r="K36" s="223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223">
        <f>K36</f>
        <v>0</v>
      </c>
      <c r="M36" s="169">
        <f>I36+J36-L36</f>
        <v>1890.01</v>
      </c>
      <c r="N36" s="173"/>
      <c r="O36" s="52"/>
    </row>
    <row r="37" spans="1:15" ht="30" customHeight="1" x14ac:dyDescent="0.2">
      <c r="B37" s="282">
        <v>22</v>
      </c>
      <c r="C37" s="296"/>
      <c r="D37" s="283" t="s">
        <v>246</v>
      </c>
      <c r="E37" s="283" t="s">
        <v>55</v>
      </c>
      <c r="F37" s="81"/>
      <c r="G37" s="284">
        <v>15</v>
      </c>
      <c r="H37" s="276">
        <v>145.64099999999999</v>
      </c>
      <c r="I37" s="169">
        <f>ROUND(G37*H37,2)</f>
        <v>2184.62</v>
      </c>
      <c r="J37" s="169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65.39</v>
      </c>
      <c r="K37" s="223">
        <f>IF(H37&lt;=207.44,0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223">
        <f>K37</f>
        <v>0</v>
      </c>
      <c r="M37" s="169">
        <f>I37+J37-L37</f>
        <v>2250.0099999999998</v>
      </c>
      <c r="N37" s="173"/>
      <c r="O37" s="52"/>
    </row>
    <row r="38" spans="1:15" s="91" customFormat="1" ht="30" customHeight="1" x14ac:dyDescent="0.2">
      <c r="A38" s="29"/>
      <c r="B38" s="282">
        <v>23</v>
      </c>
      <c r="C38" s="296"/>
      <c r="D38" s="283" t="s">
        <v>357</v>
      </c>
      <c r="E38" s="283" t="s">
        <v>358</v>
      </c>
      <c r="F38" s="284"/>
      <c r="G38" s="284">
        <v>15</v>
      </c>
      <c r="H38" s="276">
        <v>149.6</v>
      </c>
      <c r="I38" s="169">
        <f>ROUND(G38*H38,2)</f>
        <v>2244</v>
      </c>
      <c r="J38" s="169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47.66</v>
      </c>
      <c r="K38" s="223">
        <f>IF(H38&lt;=207.44,0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223">
        <f>K38</f>
        <v>0</v>
      </c>
      <c r="M38" s="169">
        <f>I38+J38-L38</f>
        <v>2291.66</v>
      </c>
      <c r="N38" s="173"/>
      <c r="O38" s="52"/>
    </row>
    <row r="39" spans="1:15" s="91" customFormat="1" ht="30" customHeight="1" x14ac:dyDescent="0.2">
      <c r="A39" s="29"/>
      <c r="B39" s="282">
        <v>24</v>
      </c>
      <c r="C39" s="296" t="s">
        <v>448</v>
      </c>
      <c r="D39" s="283" t="s">
        <v>456</v>
      </c>
      <c r="E39" s="283" t="s">
        <v>358</v>
      </c>
      <c r="F39" s="284"/>
      <c r="G39" s="284">
        <v>15</v>
      </c>
      <c r="H39" s="276">
        <v>112.74</v>
      </c>
      <c r="I39" s="169">
        <f>ROUND(G39*H39,2)</f>
        <v>1691.1</v>
      </c>
      <c r="J39" s="169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108.9</v>
      </c>
      <c r="K39" s="223">
        <f>IF(H39&lt;=207.44,0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0</v>
      </c>
      <c r="L39" s="223">
        <f>K39</f>
        <v>0</v>
      </c>
      <c r="M39" s="169">
        <f>I39+J39-L39</f>
        <v>1800</v>
      </c>
      <c r="N39" s="173"/>
      <c r="O39" s="52"/>
    </row>
    <row r="40" spans="1:15" ht="30" customHeight="1" x14ac:dyDescent="0.2">
      <c r="B40" s="282"/>
      <c r="C40" s="296"/>
      <c r="D40" s="283"/>
      <c r="E40" s="298" t="s">
        <v>34</v>
      </c>
      <c r="F40" s="416"/>
      <c r="G40" s="417"/>
      <c r="H40" s="418"/>
      <c r="I40" s="170">
        <f>SUM(I35:I39)</f>
        <v>9419.7199999999993</v>
      </c>
      <c r="J40" s="170">
        <f>SUM(J35:J39)</f>
        <v>433.08999999999992</v>
      </c>
      <c r="K40" s="224">
        <f>SUM(K35:K39)</f>
        <v>0</v>
      </c>
      <c r="L40" s="224">
        <f>SUM(L35:L39)</f>
        <v>0</v>
      </c>
      <c r="M40" s="170">
        <f>SUM(M35:M39)</f>
        <v>9852.81</v>
      </c>
      <c r="N40" s="174">
        <f>SUM(N35:N38)</f>
        <v>0</v>
      </c>
      <c r="O40" s="52"/>
    </row>
    <row r="41" spans="1:15" ht="30" customHeight="1" x14ac:dyDescent="0.2">
      <c r="B41" s="419" t="s">
        <v>44</v>
      </c>
      <c r="C41" s="420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2"/>
      <c r="O41" s="52"/>
    </row>
    <row r="42" spans="1:15" s="91" customFormat="1" ht="30" customHeight="1" x14ac:dyDescent="0.2">
      <c r="A42" s="29"/>
      <c r="B42" s="282">
        <v>25</v>
      </c>
      <c r="C42" s="296" t="s">
        <v>448</v>
      </c>
      <c r="D42" s="283" t="s">
        <v>247</v>
      </c>
      <c r="E42" s="283" t="s">
        <v>63</v>
      </c>
      <c r="F42" s="81"/>
      <c r="G42" s="284">
        <v>15</v>
      </c>
      <c r="H42" s="276">
        <v>122.86660000000001</v>
      </c>
      <c r="I42" s="169">
        <f>ROUND(G42*H42,2)</f>
        <v>1843</v>
      </c>
      <c r="J42" s="169">
        <f t="shared" ref="J42:J55" si="13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87.26</v>
      </c>
      <c r="K42" s="223">
        <f t="shared" ref="K42:K55" si="14">IF(H42&lt;=207.44,0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223">
        <f t="shared" ref="L42:L55" si="15">K42</f>
        <v>0</v>
      </c>
      <c r="M42" s="169">
        <f t="shared" ref="M42:M55" si="16">I42+J42-L42</f>
        <v>1930.26</v>
      </c>
      <c r="N42" s="173"/>
      <c r="O42" s="52"/>
    </row>
    <row r="43" spans="1:15" s="91" customFormat="1" ht="30" customHeight="1" x14ac:dyDescent="0.2">
      <c r="A43" s="29"/>
      <c r="B43" s="282">
        <v>26</v>
      </c>
      <c r="C43" s="296" t="s">
        <v>448</v>
      </c>
      <c r="D43" s="283" t="s">
        <v>248</v>
      </c>
      <c r="E43" s="283" t="s">
        <v>64</v>
      </c>
      <c r="F43" s="81"/>
      <c r="G43" s="284">
        <v>15</v>
      </c>
      <c r="H43" s="276">
        <v>154.333</v>
      </c>
      <c r="I43" s="169">
        <f t="shared" ref="I43:I50" si="17">ROUND(G43*H43,2)</f>
        <v>2315</v>
      </c>
      <c r="J43" s="169">
        <f t="shared" si="13"/>
        <v>43.12</v>
      </c>
      <c r="K43" s="223">
        <f t="shared" si="14"/>
        <v>0</v>
      </c>
      <c r="L43" s="223">
        <f t="shared" si="15"/>
        <v>0</v>
      </c>
      <c r="M43" s="169">
        <f t="shared" si="16"/>
        <v>2358.12</v>
      </c>
      <c r="N43" s="173"/>
      <c r="O43" s="52"/>
    </row>
    <row r="44" spans="1:15" ht="30" customHeight="1" x14ac:dyDescent="0.2">
      <c r="B44" s="282">
        <v>27</v>
      </c>
      <c r="C44" s="296"/>
      <c r="D44" s="283" t="s">
        <v>249</v>
      </c>
      <c r="E44" s="283" t="s">
        <v>57</v>
      </c>
      <c r="F44" s="81"/>
      <c r="G44" s="284">
        <v>15</v>
      </c>
      <c r="H44" s="276">
        <v>212.333</v>
      </c>
      <c r="I44" s="169">
        <f t="shared" si="17"/>
        <v>3185</v>
      </c>
      <c r="J44" s="223">
        <f t="shared" si="13"/>
        <v>0</v>
      </c>
      <c r="K44" s="169">
        <f t="shared" si="14"/>
        <v>64.959999999999994</v>
      </c>
      <c r="L44" s="169">
        <f t="shared" si="15"/>
        <v>64.959999999999994</v>
      </c>
      <c r="M44" s="169">
        <f t="shared" si="16"/>
        <v>3120.04</v>
      </c>
      <c r="N44" s="173"/>
      <c r="O44" s="52"/>
    </row>
    <row r="45" spans="1:15" s="91" customFormat="1" ht="30" customHeight="1" x14ac:dyDescent="0.2">
      <c r="A45" s="29"/>
      <c r="B45" s="282">
        <v>28</v>
      </c>
      <c r="C45" s="296" t="s">
        <v>448</v>
      </c>
      <c r="D45" s="283" t="s">
        <v>347</v>
      </c>
      <c r="E45" s="283" t="s">
        <v>71</v>
      </c>
      <c r="F45" s="81"/>
      <c r="G45" s="284">
        <v>15</v>
      </c>
      <c r="H45" s="276">
        <v>127.2</v>
      </c>
      <c r="I45" s="169">
        <f t="shared" si="17"/>
        <v>1908</v>
      </c>
      <c r="J45" s="169">
        <f t="shared" si="13"/>
        <v>83.1</v>
      </c>
      <c r="K45" s="223">
        <f t="shared" si="14"/>
        <v>0</v>
      </c>
      <c r="L45" s="223">
        <f t="shared" si="15"/>
        <v>0</v>
      </c>
      <c r="M45" s="169">
        <f t="shared" si="16"/>
        <v>1991.1</v>
      </c>
      <c r="N45" s="173"/>
      <c r="O45" s="52"/>
    </row>
    <row r="46" spans="1:15" s="91" customFormat="1" ht="30" customHeight="1" x14ac:dyDescent="0.2">
      <c r="A46" s="29"/>
      <c r="B46" s="282">
        <v>29</v>
      </c>
      <c r="C46" s="296" t="s">
        <v>448</v>
      </c>
      <c r="D46" s="283" t="s">
        <v>455</v>
      </c>
      <c r="E46" s="283" t="s">
        <v>71</v>
      </c>
      <c r="F46" s="81"/>
      <c r="G46" s="284">
        <v>15</v>
      </c>
      <c r="H46" s="276">
        <v>142.07900000000001</v>
      </c>
      <c r="I46" s="169">
        <f>ROUND(G46*H46,2)</f>
        <v>2131.19</v>
      </c>
      <c r="J46" s="169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68.81</v>
      </c>
      <c r="K46" s="223">
        <f>IF(H46&lt;=207.44,0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223">
        <f t="shared" si="15"/>
        <v>0</v>
      </c>
      <c r="M46" s="169">
        <f>I46+J46-L46</f>
        <v>2200</v>
      </c>
      <c r="N46" s="173"/>
      <c r="O46" s="52"/>
    </row>
    <row r="47" spans="1:15" s="91" customFormat="1" ht="30" customHeight="1" x14ac:dyDescent="0.2">
      <c r="A47" s="29"/>
      <c r="B47" s="282">
        <v>30</v>
      </c>
      <c r="C47" s="296" t="s">
        <v>448</v>
      </c>
      <c r="D47" s="283" t="s">
        <v>250</v>
      </c>
      <c r="E47" s="283" t="s">
        <v>118</v>
      </c>
      <c r="F47" s="81"/>
      <c r="G47" s="284">
        <v>15</v>
      </c>
      <c r="H47" s="276">
        <v>80</v>
      </c>
      <c r="I47" s="169">
        <f t="shared" si="17"/>
        <v>1200</v>
      </c>
      <c r="J47" s="169">
        <f t="shared" si="13"/>
        <v>140.43</v>
      </c>
      <c r="K47" s="223">
        <f t="shared" si="14"/>
        <v>0</v>
      </c>
      <c r="L47" s="223">
        <f t="shared" si="15"/>
        <v>0</v>
      </c>
      <c r="M47" s="169">
        <f t="shared" si="16"/>
        <v>1340.43</v>
      </c>
      <c r="N47" s="173"/>
      <c r="O47" s="52"/>
    </row>
    <row r="48" spans="1:15" s="91" customFormat="1" ht="30" customHeight="1" x14ac:dyDescent="0.2">
      <c r="A48" s="29"/>
      <c r="B48" s="282">
        <v>31</v>
      </c>
      <c r="C48" s="296" t="s">
        <v>448</v>
      </c>
      <c r="D48" s="283" t="s">
        <v>251</v>
      </c>
      <c r="E48" s="283" t="s">
        <v>71</v>
      </c>
      <c r="F48" s="81"/>
      <c r="G48" s="284">
        <v>15</v>
      </c>
      <c r="H48" s="276">
        <v>142.07900000000001</v>
      </c>
      <c r="I48" s="169">
        <f t="shared" si="17"/>
        <v>2131.19</v>
      </c>
      <c r="J48" s="169">
        <f t="shared" si="13"/>
        <v>68.81</v>
      </c>
      <c r="K48" s="223">
        <f t="shared" si="14"/>
        <v>0</v>
      </c>
      <c r="L48" s="223">
        <f t="shared" si="15"/>
        <v>0</v>
      </c>
      <c r="M48" s="169">
        <f t="shared" si="16"/>
        <v>2200</v>
      </c>
      <c r="N48" s="173"/>
      <c r="O48" s="52"/>
    </row>
    <row r="49" spans="1:15" ht="30" customHeight="1" x14ac:dyDescent="0.2">
      <c r="B49" s="282">
        <v>32</v>
      </c>
      <c r="C49" s="296"/>
      <c r="D49" s="283" t="s">
        <v>252</v>
      </c>
      <c r="E49" s="283" t="s">
        <v>57</v>
      </c>
      <c r="F49" s="81"/>
      <c r="G49" s="284">
        <v>15</v>
      </c>
      <c r="H49" s="276">
        <v>212.333</v>
      </c>
      <c r="I49" s="169">
        <f>ROUND(G49*H49,2)</f>
        <v>3185</v>
      </c>
      <c r="J49" s="223">
        <f t="shared" si="13"/>
        <v>0</v>
      </c>
      <c r="K49" s="169">
        <f t="shared" si="14"/>
        <v>64.959999999999994</v>
      </c>
      <c r="L49" s="169">
        <f t="shared" si="15"/>
        <v>64.959999999999994</v>
      </c>
      <c r="M49" s="169">
        <f t="shared" si="16"/>
        <v>3120.04</v>
      </c>
      <c r="N49" s="173"/>
      <c r="O49" s="52"/>
    </row>
    <row r="50" spans="1:15" ht="30" customHeight="1" x14ac:dyDescent="0.2">
      <c r="B50" s="282">
        <v>33</v>
      </c>
      <c r="C50" s="296" t="s">
        <v>448</v>
      </c>
      <c r="D50" s="283" t="s">
        <v>462</v>
      </c>
      <c r="E50" s="283" t="s">
        <v>71</v>
      </c>
      <c r="F50" s="81"/>
      <c r="G50" s="284">
        <v>15</v>
      </c>
      <c r="H50" s="276">
        <v>142.07900000000001</v>
      </c>
      <c r="I50" s="169">
        <f t="shared" si="17"/>
        <v>2131.19</v>
      </c>
      <c r="J50" s="223">
        <f t="shared" si="13"/>
        <v>68.81</v>
      </c>
      <c r="K50" s="169">
        <f t="shared" si="14"/>
        <v>0</v>
      </c>
      <c r="L50" s="169">
        <f t="shared" si="15"/>
        <v>0</v>
      </c>
      <c r="M50" s="169">
        <f t="shared" si="16"/>
        <v>2200</v>
      </c>
      <c r="N50" s="173"/>
      <c r="O50" s="52"/>
    </row>
    <row r="51" spans="1:15" ht="30" customHeight="1" x14ac:dyDescent="0.2">
      <c r="B51" s="282">
        <v>34</v>
      </c>
      <c r="C51" s="296"/>
      <c r="D51" s="283" t="s">
        <v>253</v>
      </c>
      <c r="E51" s="283" t="s">
        <v>57</v>
      </c>
      <c r="F51" s="81"/>
      <c r="G51" s="284">
        <v>15</v>
      </c>
      <c r="H51" s="276">
        <v>212.333</v>
      </c>
      <c r="I51" s="169">
        <f t="shared" ref="I51:I55" si="18">ROUND(G51*H51,2)</f>
        <v>3185</v>
      </c>
      <c r="J51" s="223">
        <f t="shared" si="13"/>
        <v>0</v>
      </c>
      <c r="K51" s="169">
        <f t="shared" si="14"/>
        <v>64.959999999999994</v>
      </c>
      <c r="L51" s="169">
        <f t="shared" si="15"/>
        <v>64.959999999999994</v>
      </c>
      <c r="M51" s="169">
        <f t="shared" si="16"/>
        <v>3120.04</v>
      </c>
      <c r="N51" s="173"/>
      <c r="O51" s="52"/>
    </row>
    <row r="52" spans="1:15" s="91" customFormat="1" ht="30" customHeight="1" x14ac:dyDescent="0.2">
      <c r="A52" s="29"/>
      <c r="B52" s="282">
        <v>35</v>
      </c>
      <c r="C52" s="296" t="s">
        <v>448</v>
      </c>
      <c r="D52" s="283" t="s">
        <v>199</v>
      </c>
      <c r="E52" s="283" t="s">
        <v>57</v>
      </c>
      <c r="F52" s="81"/>
      <c r="G52" s="284">
        <v>15</v>
      </c>
      <c r="H52" s="276">
        <v>212.333</v>
      </c>
      <c r="I52" s="169">
        <f t="shared" si="18"/>
        <v>3185</v>
      </c>
      <c r="J52" s="223">
        <f t="shared" si="13"/>
        <v>0</v>
      </c>
      <c r="K52" s="169">
        <f t="shared" si="14"/>
        <v>64.959999999999994</v>
      </c>
      <c r="L52" s="169">
        <f t="shared" si="15"/>
        <v>64.959999999999994</v>
      </c>
      <c r="M52" s="169">
        <f t="shared" si="16"/>
        <v>3120.04</v>
      </c>
      <c r="N52" s="173"/>
      <c r="O52" s="52"/>
    </row>
    <row r="53" spans="1:15" s="91" customFormat="1" ht="30" customHeight="1" x14ac:dyDescent="0.2">
      <c r="A53" s="29"/>
      <c r="B53" s="282">
        <v>36</v>
      </c>
      <c r="C53" s="296" t="s">
        <v>448</v>
      </c>
      <c r="D53" s="283" t="s">
        <v>198</v>
      </c>
      <c r="E53" s="283" t="s">
        <v>57</v>
      </c>
      <c r="F53" s="81"/>
      <c r="G53" s="284">
        <v>15</v>
      </c>
      <c r="H53" s="276">
        <v>212.333</v>
      </c>
      <c r="I53" s="169">
        <f t="shared" si="18"/>
        <v>3185</v>
      </c>
      <c r="J53" s="223">
        <f t="shared" si="13"/>
        <v>0</v>
      </c>
      <c r="K53" s="169">
        <f t="shared" si="14"/>
        <v>64.959999999999994</v>
      </c>
      <c r="L53" s="169">
        <f t="shared" si="15"/>
        <v>64.959999999999994</v>
      </c>
      <c r="M53" s="169">
        <f t="shared" si="16"/>
        <v>3120.04</v>
      </c>
      <c r="N53" s="173"/>
      <c r="O53" s="52"/>
    </row>
    <row r="54" spans="1:15" s="91" customFormat="1" ht="30" customHeight="1" x14ac:dyDescent="0.2">
      <c r="A54" s="29"/>
      <c r="B54" s="282">
        <v>37</v>
      </c>
      <c r="C54" s="296" t="s">
        <v>448</v>
      </c>
      <c r="D54" s="283" t="s">
        <v>479</v>
      </c>
      <c r="E54" s="283" t="s">
        <v>57</v>
      </c>
      <c r="F54" s="81"/>
      <c r="G54" s="284">
        <v>15</v>
      </c>
      <c r="H54" s="276">
        <v>212.333</v>
      </c>
      <c r="I54" s="169">
        <f>ROUND(G54*H54,2)</f>
        <v>3185</v>
      </c>
      <c r="J54" s="223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0</v>
      </c>
      <c r="K54" s="169">
        <f>IF(H54&lt;=207.44,0,(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))</f>
        <v>64.959999999999994</v>
      </c>
      <c r="L54" s="169">
        <f>K54</f>
        <v>64.959999999999994</v>
      </c>
      <c r="M54" s="169">
        <f>I54+J54-L54</f>
        <v>3120.04</v>
      </c>
      <c r="N54" s="173"/>
      <c r="O54" s="52"/>
    </row>
    <row r="55" spans="1:15" s="91" customFormat="1" ht="30" customHeight="1" x14ac:dyDescent="0.2">
      <c r="A55" s="29"/>
      <c r="B55" s="282">
        <v>38</v>
      </c>
      <c r="C55" s="296" t="s">
        <v>448</v>
      </c>
      <c r="D55" s="283" t="s">
        <v>359</v>
      </c>
      <c r="E55" s="283" t="s">
        <v>360</v>
      </c>
      <c r="F55" s="81"/>
      <c r="G55" s="284">
        <v>15</v>
      </c>
      <c r="H55" s="276">
        <v>122.86660000000001</v>
      </c>
      <c r="I55" s="169">
        <f t="shared" si="18"/>
        <v>1843</v>
      </c>
      <c r="J55" s="169">
        <f t="shared" si="13"/>
        <v>87.26</v>
      </c>
      <c r="K55" s="223">
        <f t="shared" si="14"/>
        <v>0</v>
      </c>
      <c r="L55" s="223">
        <f t="shared" si="15"/>
        <v>0</v>
      </c>
      <c r="M55" s="169">
        <f t="shared" si="16"/>
        <v>1930.26</v>
      </c>
      <c r="N55" s="173"/>
      <c r="O55" s="52"/>
    </row>
    <row r="56" spans="1:15" ht="30" customHeight="1" x14ac:dyDescent="0.2">
      <c r="B56" s="282"/>
      <c r="C56" s="296"/>
      <c r="D56" s="283"/>
      <c r="E56" s="302" t="s">
        <v>34</v>
      </c>
      <c r="F56" s="416"/>
      <c r="G56" s="417"/>
      <c r="H56" s="418"/>
      <c r="I56" s="170">
        <f t="shared" ref="I56:N56" si="19">SUM(I42:I55)</f>
        <v>34612.57</v>
      </c>
      <c r="J56" s="170">
        <f t="shared" si="19"/>
        <v>647.59999999999991</v>
      </c>
      <c r="K56" s="170">
        <f t="shared" si="19"/>
        <v>389.75999999999993</v>
      </c>
      <c r="L56" s="170">
        <f t="shared" si="19"/>
        <v>389.75999999999993</v>
      </c>
      <c r="M56" s="170">
        <f t="shared" si="19"/>
        <v>34870.410000000003</v>
      </c>
      <c r="N56" s="174">
        <f t="shared" si="19"/>
        <v>0</v>
      </c>
      <c r="O56" s="52"/>
    </row>
    <row r="57" spans="1:15" ht="30" customHeight="1" x14ac:dyDescent="0.2">
      <c r="B57" s="419" t="s">
        <v>45</v>
      </c>
      <c r="C57" s="420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2"/>
      <c r="O57" s="52"/>
    </row>
    <row r="58" spans="1:15" s="91" customFormat="1" ht="30" customHeight="1" x14ac:dyDescent="0.2">
      <c r="A58" s="29"/>
      <c r="B58" s="282">
        <v>39</v>
      </c>
      <c r="C58" s="296" t="s">
        <v>448</v>
      </c>
      <c r="D58" s="283" t="s">
        <v>254</v>
      </c>
      <c r="E58" s="283" t="s">
        <v>74</v>
      </c>
      <c r="F58" s="81"/>
      <c r="G58" s="284">
        <v>15</v>
      </c>
      <c r="H58" s="299">
        <v>129.733</v>
      </c>
      <c r="I58" s="169">
        <f>ROUND(G58*H58,2)</f>
        <v>1946</v>
      </c>
      <c r="J58" s="169">
        <f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80.66</v>
      </c>
      <c r="K58" s="223">
        <f>IF(H58&lt;=207.44,0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0</v>
      </c>
      <c r="L58" s="223">
        <f>K58</f>
        <v>0</v>
      </c>
      <c r="M58" s="169">
        <f>I58+J58-L58</f>
        <v>2026.66</v>
      </c>
      <c r="N58" s="173"/>
      <c r="O58" s="52"/>
    </row>
    <row r="59" spans="1:15" s="91" customFormat="1" ht="30" customHeight="1" x14ac:dyDescent="0.2">
      <c r="A59" s="29"/>
      <c r="B59" s="282">
        <v>40</v>
      </c>
      <c r="C59" s="296" t="s">
        <v>448</v>
      </c>
      <c r="D59" s="283" t="s">
        <v>255</v>
      </c>
      <c r="E59" s="283" t="s">
        <v>66</v>
      </c>
      <c r="F59" s="81"/>
      <c r="G59" s="284">
        <v>15</v>
      </c>
      <c r="H59" s="299">
        <v>204.9333</v>
      </c>
      <c r="I59" s="169">
        <f>ROUND(G59*H59,2)</f>
        <v>3074</v>
      </c>
      <c r="J59" s="223">
        <f>IFERROR(IF(ROUND((((I59/G59*30.4)-VLOOKUP((I59/G59*30.4),TARIFA,1))*VLOOKUP((I59/G59*30.4),TARIFA,3)+VLOOKUP((I59/G59*30.4),TARIFA,2)-VLOOKUP((I59/G59*30.4),SUBSIDIO,2))/30.4*G59,2)&lt;0,ROUND(-(((I59/G59*30.4)-VLOOKUP((I59/G59*30.4),TARIFA,1))*VLOOKUP((I59/G59*30.4),TARIFA,3)+VLOOKUP((I59/G59*30.4),TARIFA,2)-VLOOKUP((I59/G59*30.4),SUBSIDIO,2))/30.4*G59,2),0),0)</f>
        <v>0</v>
      </c>
      <c r="K59" s="223">
        <f>IF(H59&lt;=207.44,0,(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))</f>
        <v>0</v>
      </c>
      <c r="L59" s="223">
        <f>K59</f>
        <v>0</v>
      </c>
      <c r="M59" s="169">
        <f>I59+J59-L59</f>
        <v>3074</v>
      </c>
      <c r="N59" s="173"/>
      <c r="O59" s="52"/>
    </row>
    <row r="60" spans="1:15" s="91" customFormat="1" ht="30" customHeight="1" x14ac:dyDescent="0.2">
      <c r="A60" s="29"/>
      <c r="B60" s="282">
        <v>41</v>
      </c>
      <c r="C60" s="296" t="s">
        <v>448</v>
      </c>
      <c r="D60" s="283" t="s">
        <v>256</v>
      </c>
      <c r="E60" s="283" t="s">
        <v>66</v>
      </c>
      <c r="F60" s="81"/>
      <c r="G60" s="284">
        <v>15</v>
      </c>
      <c r="H60" s="299">
        <v>251.73330000000001</v>
      </c>
      <c r="I60" s="169">
        <f>ROUND(G60*H60,2)</f>
        <v>3776</v>
      </c>
      <c r="J60" s="223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169">
        <f>IF(H60&lt;=207.44,0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254.37</v>
      </c>
      <c r="L60" s="169">
        <f>K60</f>
        <v>254.37</v>
      </c>
      <c r="M60" s="169">
        <f>I60+J60-L60</f>
        <v>3521.63</v>
      </c>
      <c r="N60" s="173"/>
      <c r="O60" s="52"/>
    </row>
    <row r="61" spans="1:15" s="91" customFormat="1" ht="30" customHeight="1" x14ac:dyDescent="0.2">
      <c r="A61" s="29"/>
      <c r="B61" s="282">
        <v>42</v>
      </c>
      <c r="C61" s="296" t="s">
        <v>448</v>
      </c>
      <c r="D61" s="283" t="s">
        <v>345</v>
      </c>
      <c r="E61" s="283" t="s">
        <v>346</v>
      </c>
      <c r="F61" s="81"/>
      <c r="G61" s="284">
        <v>15</v>
      </c>
      <c r="H61" s="299">
        <v>303</v>
      </c>
      <c r="I61" s="169">
        <f>ROUND(G61*H61,2)</f>
        <v>4545</v>
      </c>
      <c r="J61" s="223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169">
        <f>IF(H61&lt;=207.44,0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338.03</v>
      </c>
      <c r="L61" s="169">
        <f>K61</f>
        <v>338.03</v>
      </c>
      <c r="M61" s="169">
        <f>I61+J61-L61</f>
        <v>4206.97</v>
      </c>
      <c r="N61" s="173"/>
      <c r="O61" s="52"/>
    </row>
    <row r="62" spans="1:15" ht="30" customHeight="1" x14ac:dyDescent="0.2">
      <c r="B62" s="282"/>
      <c r="C62" s="296"/>
      <c r="D62" s="283"/>
      <c r="E62" s="298" t="s">
        <v>34</v>
      </c>
      <c r="F62" s="416"/>
      <c r="G62" s="417"/>
      <c r="H62" s="418"/>
      <c r="I62" s="170">
        <f>SUM(I58:I61)</f>
        <v>13341</v>
      </c>
      <c r="J62" s="170">
        <f t="shared" ref="J62:N62" si="20">SUM(J58:J61)</f>
        <v>80.66</v>
      </c>
      <c r="K62" s="170">
        <f t="shared" si="20"/>
        <v>592.4</v>
      </c>
      <c r="L62" s="170">
        <f t="shared" si="20"/>
        <v>592.4</v>
      </c>
      <c r="M62" s="170">
        <f>SUM(M58:M61)</f>
        <v>12829.260000000002</v>
      </c>
      <c r="N62" s="174">
        <f t="shared" si="20"/>
        <v>0</v>
      </c>
      <c r="O62" s="52"/>
    </row>
    <row r="63" spans="1:15" ht="30" customHeight="1" x14ac:dyDescent="0.2">
      <c r="B63" s="419" t="s">
        <v>47</v>
      </c>
      <c r="C63" s="420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2"/>
      <c r="O63" s="52"/>
    </row>
    <row r="64" spans="1:15" s="89" customFormat="1" ht="30" customHeight="1" x14ac:dyDescent="0.2">
      <c r="A64" s="5"/>
      <c r="B64" s="282">
        <v>43</v>
      </c>
      <c r="C64" s="296" t="s">
        <v>448</v>
      </c>
      <c r="D64" s="304" t="s">
        <v>137</v>
      </c>
      <c r="E64" s="283" t="s">
        <v>48</v>
      </c>
      <c r="F64" s="81"/>
      <c r="G64" s="284">
        <v>15</v>
      </c>
      <c r="H64" s="276">
        <v>298.86660000000001</v>
      </c>
      <c r="I64" s="169">
        <f t="shared" ref="I64:I69" si="21">ROUND(G64*H64,2)</f>
        <v>4483</v>
      </c>
      <c r="J64" s="223">
        <f t="shared" ref="J64:J70" si="22">IFERROR(IF(ROUND((((I64/G64*30.4)-VLOOKUP((I64/G64*30.4),TARIFA,1))*VLOOKUP((I64/G64*30.4),TARIFA,3)+VLOOKUP((I64/G64*30.4),TARIFA,2)-VLOOKUP((I64/G64*30.4),SUBSIDIO,2))/30.4*G64,2)&lt;0,ROUND(-(((I64/G64*30.4)-VLOOKUP((I64/G64*30.4),TARIFA,1))*VLOOKUP((I64/G64*30.4),TARIFA,3)+VLOOKUP((I64/G64*30.4),TARIFA,2)-VLOOKUP((I64/G64*30.4),SUBSIDIO,2))/30.4*G64,2),0),0)</f>
        <v>0</v>
      </c>
      <c r="K64" s="169">
        <f t="shared" ref="K64:K70" si="23">IF(H64&lt;=207.44,0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331.29</v>
      </c>
      <c r="L64" s="169">
        <f t="shared" ref="L64:L73" si="24">K64</f>
        <v>331.29</v>
      </c>
      <c r="M64" s="169">
        <f t="shared" ref="M64:M70" si="25">I64+J64-L64</f>
        <v>4151.71</v>
      </c>
      <c r="N64" s="173"/>
      <c r="O64" s="52"/>
    </row>
    <row r="65" spans="1:15" s="91" customFormat="1" ht="30" customHeight="1" x14ac:dyDescent="0.2">
      <c r="A65" s="29"/>
      <c r="B65" s="282">
        <v>44</v>
      </c>
      <c r="C65" s="296" t="s">
        <v>448</v>
      </c>
      <c r="D65" s="283" t="s">
        <v>257</v>
      </c>
      <c r="E65" s="283" t="s">
        <v>48</v>
      </c>
      <c r="F65" s="81"/>
      <c r="G65" s="284">
        <v>15</v>
      </c>
      <c r="H65" s="276">
        <v>174.8</v>
      </c>
      <c r="I65" s="169">
        <f t="shared" si="21"/>
        <v>2622</v>
      </c>
      <c r="J65" s="169">
        <f t="shared" si="22"/>
        <v>8.98</v>
      </c>
      <c r="K65" s="223">
        <f t="shared" si="23"/>
        <v>0</v>
      </c>
      <c r="L65" s="223">
        <f t="shared" si="24"/>
        <v>0</v>
      </c>
      <c r="M65" s="169">
        <f t="shared" si="25"/>
        <v>2630.98</v>
      </c>
      <c r="N65" s="173"/>
      <c r="O65" s="52"/>
    </row>
    <row r="66" spans="1:15" ht="30" customHeight="1" x14ac:dyDescent="0.2">
      <c r="B66" s="282">
        <v>45</v>
      </c>
      <c r="C66" s="296" t="s">
        <v>448</v>
      </c>
      <c r="D66" s="283" t="s">
        <v>258</v>
      </c>
      <c r="E66" s="283" t="s">
        <v>55</v>
      </c>
      <c r="F66" s="67"/>
      <c r="G66" s="284">
        <v>15</v>
      </c>
      <c r="H66" s="276">
        <v>127.834</v>
      </c>
      <c r="I66" s="169">
        <f t="shared" si="21"/>
        <v>1917.51</v>
      </c>
      <c r="J66" s="169">
        <f t="shared" si="22"/>
        <v>82.49</v>
      </c>
      <c r="K66" s="223">
        <f t="shared" si="23"/>
        <v>0</v>
      </c>
      <c r="L66" s="223">
        <f t="shared" si="24"/>
        <v>0</v>
      </c>
      <c r="M66" s="169">
        <f t="shared" si="25"/>
        <v>2000</v>
      </c>
      <c r="N66" s="173"/>
      <c r="O66" s="52"/>
    </row>
    <row r="67" spans="1:15" ht="30" customHeight="1" x14ac:dyDescent="0.2">
      <c r="B67" s="282">
        <v>46</v>
      </c>
      <c r="C67" s="296" t="s">
        <v>448</v>
      </c>
      <c r="D67" s="283" t="s">
        <v>259</v>
      </c>
      <c r="E67" s="283" t="s">
        <v>55</v>
      </c>
      <c r="F67" s="81"/>
      <c r="G67" s="284">
        <v>15</v>
      </c>
      <c r="H67" s="276">
        <v>120.86660000000001</v>
      </c>
      <c r="I67" s="169">
        <f t="shared" si="21"/>
        <v>1813</v>
      </c>
      <c r="J67" s="169">
        <f t="shared" si="22"/>
        <v>89.18</v>
      </c>
      <c r="K67" s="223">
        <f t="shared" si="23"/>
        <v>0</v>
      </c>
      <c r="L67" s="223">
        <f t="shared" si="24"/>
        <v>0</v>
      </c>
      <c r="M67" s="169">
        <f t="shared" si="25"/>
        <v>1902.18</v>
      </c>
      <c r="N67" s="173"/>
      <c r="O67" s="52"/>
    </row>
    <row r="68" spans="1:15" ht="30" customHeight="1" x14ac:dyDescent="0.2">
      <c r="B68" s="282">
        <v>47</v>
      </c>
      <c r="C68" s="296"/>
      <c r="D68" s="283" t="s">
        <v>260</v>
      </c>
      <c r="E68" s="283" t="s">
        <v>55</v>
      </c>
      <c r="F68" s="81"/>
      <c r="G68" s="284">
        <v>15</v>
      </c>
      <c r="H68" s="276">
        <v>128</v>
      </c>
      <c r="I68" s="169">
        <f t="shared" si="21"/>
        <v>1920</v>
      </c>
      <c r="J68" s="169">
        <f t="shared" si="22"/>
        <v>82.33</v>
      </c>
      <c r="K68" s="223">
        <f t="shared" si="23"/>
        <v>0</v>
      </c>
      <c r="L68" s="223">
        <f t="shared" si="24"/>
        <v>0</v>
      </c>
      <c r="M68" s="169">
        <f t="shared" si="25"/>
        <v>2002.33</v>
      </c>
      <c r="N68" s="173"/>
      <c r="O68" s="52"/>
    </row>
    <row r="69" spans="1:15" ht="30" customHeight="1" x14ac:dyDescent="0.2">
      <c r="B69" s="282">
        <v>48</v>
      </c>
      <c r="C69" s="296"/>
      <c r="D69" s="283" t="s">
        <v>261</v>
      </c>
      <c r="E69" s="283" t="s">
        <v>55</v>
      </c>
      <c r="F69" s="81"/>
      <c r="G69" s="284">
        <v>15</v>
      </c>
      <c r="H69" s="276">
        <v>128</v>
      </c>
      <c r="I69" s="169">
        <f t="shared" si="21"/>
        <v>1920</v>
      </c>
      <c r="J69" s="169">
        <f t="shared" si="22"/>
        <v>82.33</v>
      </c>
      <c r="K69" s="223">
        <f t="shared" si="23"/>
        <v>0</v>
      </c>
      <c r="L69" s="223">
        <f t="shared" si="24"/>
        <v>0</v>
      </c>
      <c r="M69" s="169">
        <f t="shared" si="25"/>
        <v>2002.33</v>
      </c>
      <c r="N69" s="173"/>
      <c r="O69" s="52"/>
    </row>
    <row r="70" spans="1:15" s="91" customFormat="1" ht="30" customHeight="1" x14ac:dyDescent="0.2">
      <c r="A70" s="29"/>
      <c r="B70" s="282">
        <v>49</v>
      </c>
      <c r="C70" s="296" t="s">
        <v>448</v>
      </c>
      <c r="D70" s="304" t="s">
        <v>182</v>
      </c>
      <c r="E70" s="283" t="s">
        <v>55</v>
      </c>
      <c r="F70" s="81"/>
      <c r="G70" s="284">
        <v>15</v>
      </c>
      <c r="H70" s="276">
        <v>100</v>
      </c>
      <c r="I70" s="169">
        <f>ROUND(G70*H70,2)</f>
        <v>1500</v>
      </c>
      <c r="J70" s="169">
        <f t="shared" si="22"/>
        <v>121.13</v>
      </c>
      <c r="K70" s="223">
        <f t="shared" si="23"/>
        <v>0</v>
      </c>
      <c r="L70" s="223">
        <f t="shared" si="24"/>
        <v>0</v>
      </c>
      <c r="M70" s="169">
        <f t="shared" si="25"/>
        <v>1621.13</v>
      </c>
      <c r="N70" s="173"/>
      <c r="O70" s="52"/>
    </row>
    <row r="71" spans="1:15" s="91" customFormat="1" ht="30" customHeight="1" x14ac:dyDescent="0.2">
      <c r="A71" s="29"/>
      <c r="B71" s="282">
        <v>50</v>
      </c>
      <c r="C71" s="296" t="s">
        <v>448</v>
      </c>
      <c r="D71" s="304" t="s">
        <v>466</v>
      </c>
      <c r="E71" s="283" t="s">
        <v>467</v>
      </c>
      <c r="F71" s="81"/>
      <c r="G71" s="284">
        <v>15</v>
      </c>
      <c r="H71" s="276">
        <v>362.32299999999998</v>
      </c>
      <c r="I71" s="169">
        <f>ROUND(G71*H71,2)</f>
        <v>5434.85</v>
      </c>
      <c r="J71" s="223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0</v>
      </c>
      <c r="K71" s="223">
        <f>IF(H71&lt;=207.44,0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434.85</v>
      </c>
      <c r="L71" s="223">
        <f>K71</f>
        <v>434.85</v>
      </c>
      <c r="M71" s="169">
        <f>I71+J71-L71</f>
        <v>5000</v>
      </c>
      <c r="N71" s="173"/>
      <c r="O71" s="52"/>
    </row>
    <row r="72" spans="1:15" s="91" customFormat="1" ht="30" customHeight="1" x14ac:dyDescent="0.2">
      <c r="A72" s="29"/>
      <c r="B72" s="282">
        <v>51</v>
      </c>
      <c r="C72" s="296" t="s">
        <v>448</v>
      </c>
      <c r="D72" s="304" t="s">
        <v>481</v>
      </c>
      <c r="E72" s="283" t="s">
        <v>467</v>
      </c>
      <c r="F72" s="81"/>
      <c r="G72" s="284">
        <v>15</v>
      </c>
      <c r="H72" s="276">
        <v>523.65</v>
      </c>
      <c r="I72" s="169">
        <f>ROUND(G72*H72,2)</f>
        <v>7854.75</v>
      </c>
      <c r="J72" s="223">
        <f>IFERROR(IF(ROUND((((I72/G72*30.4)-VLOOKUP((I72/G72*30.4),TARIFA,1))*VLOOKUP((I72/G72*30.4),TARIFA,3)+VLOOKUP((I72/G72*30.4),TARIFA,2)-VLOOKUP((I72/G72*30.4),SUBSIDIO,2))/30.4*G72,2)&lt;0,ROUND(-(((I72/G72*30.4)-VLOOKUP((I72/G72*30.4),TARIFA,1))*VLOOKUP((I72/G72*30.4),TARIFA,3)+VLOOKUP((I72/G72*30.4),TARIFA,2)-VLOOKUP((I72/G72*30.4),SUBSIDIO,2))/30.4*G72,2),0),0)</f>
        <v>0</v>
      </c>
      <c r="K72" s="223">
        <f>IF(H72&lt;=207.44,0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854.75</v>
      </c>
      <c r="L72" s="223">
        <f>K72</f>
        <v>854.75</v>
      </c>
      <c r="M72" s="169">
        <f>I72+J72-L72</f>
        <v>7000</v>
      </c>
      <c r="N72" s="173"/>
      <c r="O72" s="52"/>
    </row>
    <row r="73" spans="1:15" s="91" customFormat="1" ht="30" customHeight="1" x14ac:dyDescent="0.2">
      <c r="A73" s="29"/>
      <c r="B73" s="282">
        <v>52</v>
      </c>
      <c r="C73" s="296" t="s">
        <v>448</v>
      </c>
      <c r="D73" s="304" t="s">
        <v>449</v>
      </c>
      <c r="E73" s="283" t="s">
        <v>43</v>
      </c>
      <c r="F73" s="81"/>
      <c r="G73" s="284">
        <v>15</v>
      </c>
      <c r="H73" s="276">
        <v>127.834</v>
      </c>
      <c r="I73" s="169">
        <f>ROUND(G73*H73,2)</f>
        <v>1917.51</v>
      </c>
      <c r="J73" s="169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82.49</v>
      </c>
      <c r="K73" s="223">
        <f>IF(H73&lt;=207.44,0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223">
        <f t="shared" si="24"/>
        <v>0</v>
      </c>
      <c r="M73" s="169">
        <f>I73+J73-L73</f>
        <v>2000</v>
      </c>
      <c r="N73" s="173"/>
      <c r="O73" s="52"/>
    </row>
    <row r="74" spans="1:15" ht="30" customHeight="1" x14ac:dyDescent="0.2">
      <c r="B74" s="282"/>
      <c r="C74" s="296"/>
      <c r="D74" s="283"/>
      <c r="E74" s="298" t="s">
        <v>34</v>
      </c>
      <c r="F74" s="416"/>
      <c r="G74" s="417"/>
      <c r="H74" s="418"/>
      <c r="I74" s="170">
        <f>SUM(I64:I73)</f>
        <v>31382.62</v>
      </c>
      <c r="J74" s="170">
        <f>SUM(J64:J73)</f>
        <v>548.92999999999995</v>
      </c>
      <c r="K74" s="170">
        <f>SUM(K64:K73)</f>
        <v>1620.89</v>
      </c>
      <c r="L74" s="170">
        <f>SUM(L64:L73)</f>
        <v>1620.89</v>
      </c>
      <c r="M74" s="170">
        <f>SUM(M64:M73)</f>
        <v>30310.66</v>
      </c>
      <c r="N74" s="174">
        <f>SUM(N64:N70)</f>
        <v>0</v>
      </c>
      <c r="O74" s="52"/>
    </row>
    <row r="75" spans="1:15" ht="30" customHeight="1" x14ac:dyDescent="0.2">
      <c r="B75" s="419" t="s">
        <v>65</v>
      </c>
      <c r="C75" s="420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2"/>
      <c r="O75" s="52"/>
    </row>
    <row r="76" spans="1:15" s="5" customFormat="1" ht="30" customHeight="1" x14ac:dyDescent="0.2">
      <c r="B76" s="282">
        <v>53</v>
      </c>
      <c r="C76" s="296"/>
      <c r="D76" s="283" t="s">
        <v>262</v>
      </c>
      <c r="E76" s="283" t="s">
        <v>36</v>
      </c>
      <c r="F76" s="81"/>
      <c r="G76" s="284">
        <v>15</v>
      </c>
      <c r="H76" s="299">
        <v>303</v>
      </c>
      <c r="I76" s="169">
        <f>ROUND(G76*H76,2)</f>
        <v>4545</v>
      </c>
      <c r="J76" s="223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69">
        <f>IF(H76&lt;=207.44,0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338.03</v>
      </c>
      <c r="L76" s="169">
        <f>K76</f>
        <v>338.03</v>
      </c>
      <c r="M76" s="169">
        <f>I76+J76-L76</f>
        <v>4206.97</v>
      </c>
      <c r="N76" s="173"/>
      <c r="O76" s="52"/>
    </row>
    <row r="77" spans="1:15" ht="30" customHeight="1" x14ac:dyDescent="0.2">
      <c r="B77" s="282">
        <v>54</v>
      </c>
      <c r="C77" s="296" t="s">
        <v>448</v>
      </c>
      <c r="D77" s="283" t="s">
        <v>353</v>
      </c>
      <c r="E77" s="283" t="s">
        <v>55</v>
      </c>
      <c r="F77" s="67"/>
      <c r="G77" s="284">
        <v>15</v>
      </c>
      <c r="H77" s="299">
        <v>102.2</v>
      </c>
      <c r="I77" s="169">
        <f>ROUND(G77*H77,2)</f>
        <v>1533</v>
      </c>
      <c r="J77" s="169">
        <v>119.1</v>
      </c>
      <c r="K77" s="223">
        <v>0</v>
      </c>
      <c r="L77" s="223">
        <f>K77</f>
        <v>0</v>
      </c>
      <c r="M77" s="169">
        <f>I77+J77-L77</f>
        <v>1652.1</v>
      </c>
      <c r="N77" s="173"/>
      <c r="O77" s="52"/>
    </row>
    <row r="78" spans="1:15" ht="30" customHeight="1" x14ac:dyDescent="0.2">
      <c r="B78" s="282"/>
      <c r="C78" s="296"/>
      <c r="D78" s="283"/>
      <c r="E78" s="298" t="s">
        <v>34</v>
      </c>
      <c r="F78" s="416"/>
      <c r="G78" s="417"/>
      <c r="H78" s="418"/>
      <c r="I78" s="170">
        <f>SUM(I76:I77)</f>
        <v>6078</v>
      </c>
      <c r="J78" s="170">
        <f t="shared" ref="J78:N78" si="26">SUM(J76:J77)</f>
        <v>119.1</v>
      </c>
      <c r="K78" s="170">
        <f t="shared" si="26"/>
        <v>338.03</v>
      </c>
      <c r="L78" s="170">
        <f t="shared" si="26"/>
        <v>338.03</v>
      </c>
      <c r="M78" s="170">
        <f t="shared" si="26"/>
        <v>5859.07</v>
      </c>
      <c r="N78" s="174">
        <f t="shared" si="26"/>
        <v>0</v>
      </c>
      <c r="O78" s="52"/>
    </row>
    <row r="79" spans="1:15" ht="30" customHeight="1" x14ac:dyDescent="0.2">
      <c r="B79" s="419" t="s">
        <v>51</v>
      </c>
      <c r="C79" s="420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2"/>
      <c r="O79" s="52"/>
    </row>
    <row r="80" spans="1:15" ht="30" customHeight="1" x14ac:dyDescent="0.2">
      <c r="B80" s="282">
        <v>55</v>
      </c>
      <c r="C80" s="296"/>
      <c r="D80" s="304" t="s">
        <v>263</v>
      </c>
      <c r="E80" s="283" t="s">
        <v>43</v>
      </c>
      <c r="F80" s="81"/>
      <c r="G80" s="284">
        <v>15</v>
      </c>
      <c r="H80" s="276">
        <v>100</v>
      </c>
      <c r="I80" s="169">
        <f t="shared" ref="I80:I85" si="27">ROUND(G80*H80,2)</f>
        <v>1500</v>
      </c>
      <c r="J80" s="169">
        <f t="shared" ref="J80:J85" si="28">IFERROR(IF(ROUND((((I80/G80*30.4)-VLOOKUP((I80/G80*30.4),TARIFA,1))*VLOOKUP((I80/G80*30.4),TARIFA,3)+VLOOKUP((I80/G80*30.4),TARIFA,2)-VLOOKUP((I80/G80*30.4),SUBSIDIO,2))/30.4*G80,2)&lt;0,ROUND(-(((I80/G80*30.4)-VLOOKUP((I80/G80*30.4),TARIFA,1))*VLOOKUP((I80/G80*30.4),TARIFA,3)+VLOOKUP((I80/G80*30.4),TARIFA,2)-VLOOKUP((I80/G80*30.4),SUBSIDIO,2))/30.4*G80,2),0),0)</f>
        <v>121.13</v>
      </c>
      <c r="K80" s="223">
        <f t="shared" ref="K80:K85" si="29">IF(H80&lt;=207.44,0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0</v>
      </c>
      <c r="L80" s="223">
        <f t="shared" ref="L80:L85" si="30">K80</f>
        <v>0</v>
      </c>
      <c r="M80" s="169">
        <f t="shared" ref="M80:M85" si="31">I80+J80-L80</f>
        <v>1621.13</v>
      </c>
      <c r="N80" s="173"/>
      <c r="O80" s="52"/>
    </row>
    <row r="81" spans="1:15" s="91" customFormat="1" ht="30" customHeight="1" x14ac:dyDescent="0.2">
      <c r="A81" s="29"/>
      <c r="B81" s="282">
        <v>56</v>
      </c>
      <c r="C81" s="296" t="s">
        <v>448</v>
      </c>
      <c r="D81" s="304" t="s">
        <v>264</v>
      </c>
      <c r="E81" s="283" t="s">
        <v>73</v>
      </c>
      <c r="F81" s="81"/>
      <c r="G81" s="284">
        <v>15</v>
      </c>
      <c r="H81" s="276">
        <v>143.86660000000001</v>
      </c>
      <c r="I81" s="169">
        <f t="shared" si="27"/>
        <v>2158</v>
      </c>
      <c r="J81" s="169">
        <f t="shared" si="28"/>
        <v>67.099999999999994</v>
      </c>
      <c r="K81" s="223">
        <f t="shared" si="29"/>
        <v>0</v>
      </c>
      <c r="L81" s="223">
        <f t="shared" si="30"/>
        <v>0</v>
      </c>
      <c r="M81" s="169">
        <f t="shared" si="31"/>
        <v>2225.1</v>
      </c>
      <c r="N81" s="173"/>
      <c r="O81" s="52"/>
    </row>
    <row r="82" spans="1:15" ht="30" customHeight="1" x14ac:dyDescent="0.2">
      <c r="B82" s="282">
        <v>57</v>
      </c>
      <c r="C82" s="296" t="s">
        <v>448</v>
      </c>
      <c r="D82" s="304" t="s">
        <v>473</v>
      </c>
      <c r="E82" s="283" t="s">
        <v>66</v>
      </c>
      <c r="F82" s="81"/>
      <c r="G82" s="284">
        <v>15</v>
      </c>
      <c r="H82" s="276">
        <v>113.333</v>
      </c>
      <c r="I82" s="169">
        <f t="shared" si="27"/>
        <v>1700</v>
      </c>
      <c r="J82" s="169">
        <f t="shared" si="28"/>
        <v>108.33</v>
      </c>
      <c r="K82" s="223">
        <f t="shared" si="29"/>
        <v>0</v>
      </c>
      <c r="L82" s="223">
        <f t="shared" si="30"/>
        <v>0</v>
      </c>
      <c r="M82" s="169">
        <f t="shared" si="31"/>
        <v>1808.33</v>
      </c>
      <c r="N82" s="173"/>
      <c r="O82" s="52"/>
    </row>
    <row r="83" spans="1:15" s="91" customFormat="1" ht="30" customHeight="1" x14ac:dyDescent="0.2">
      <c r="A83" s="29"/>
      <c r="B83" s="282">
        <v>58</v>
      </c>
      <c r="C83" s="296" t="s">
        <v>448</v>
      </c>
      <c r="D83" s="304" t="s">
        <v>265</v>
      </c>
      <c r="E83" s="283" t="s">
        <v>66</v>
      </c>
      <c r="F83" s="81"/>
      <c r="G83" s="284">
        <v>15</v>
      </c>
      <c r="H83" s="276">
        <v>113.333</v>
      </c>
      <c r="I83" s="169">
        <f t="shared" si="27"/>
        <v>1700</v>
      </c>
      <c r="J83" s="169">
        <f t="shared" si="28"/>
        <v>108.33</v>
      </c>
      <c r="K83" s="223">
        <f t="shared" si="29"/>
        <v>0</v>
      </c>
      <c r="L83" s="223">
        <f t="shared" si="30"/>
        <v>0</v>
      </c>
      <c r="M83" s="169">
        <f t="shared" si="31"/>
        <v>1808.33</v>
      </c>
      <c r="N83" s="173"/>
      <c r="O83" s="52"/>
    </row>
    <row r="84" spans="1:15" ht="30" customHeight="1" x14ac:dyDescent="0.2">
      <c r="B84" s="282">
        <v>59</v>
      </c>
      <c r="C84" s="296"/>
      <c r="D84" s="283" t="s">
        <v>266</v>
      </c>
      <c r="E84" s="283" t="s">
        <v>109</v>
      </c>
      <c r="F84" s="81"/>
      <c r="G84" s="284">
        <v>15</v>
      </c>
      <c r="H84" s="276">
        <v>94.866600000000005</v>
      </c>
      <c r="I84" s="169">
        <f t="shared" si="27"/>
        <v>1423</v>
      </c>
      <c r="J84" s="169">
        <f t="shared" si="28"/>
        <v>126.06</v>
      </c>
      <c r="K84" s="223">
        <f t="shared" si="29"/>
        <v>0</v>
      </c>
      <c r="L84" s="223">
        <f t="shared" si="30"/>
        <v>0</v>
      </c>
      <c r="M84" s="169">
        <f t="shared" si="31"/>
        <v>1549.06</v>
      </c>
      <c r="N84" s="173"/>
      <c r="O84" s="52"/>
    </row>
    <row r="85" spans="1:15" s="91" customFormat="1" ht="30" customHeight="1" x14ac:dyDescent="0.2">
      <c r="A85" s="29"/>
      <c r="B85" s="282">
        <v>60</v>
      </c>
      <c r="C85" s="296" t="s">
        <v>448</v>
      </c>
      <c r="D85" s="283" t="s">
        <v>267</v>
      </c>
      <c r="E85" s="283" t="s">
        <v>129</v>
      </c>
      <c r="F85" s="284"/>
      <c r="G85" s="284">
        <v>15</v>
      </c>
      <c r="H85" s="276">
        <v>86.666600000000003</v>
      </c>
      <c r="I85" s="169">
        <f t="shared" si="27"/>
        <v>1300</v>
      </c>
      <c r="J85" s="169">
        <f t="shared" si="28"/>
        <v>134.03</v>
      </c>
      <c r="K85" s="223">
        <f t="shared" si="29"/>
        <v>0</v>
      </c>
      <c r="L85" s="223">
        <f t="shared" si="30"/>
        <v>0</v>
      </c>
      <c r="M85" s="169">
        <f t="shared" si="31"/>
        <v>1434.03</v>
      </c>
      <c r="N85" s="173"/>
      <c r="O85" s="52"/>
    </row>
    <row r="86" spans="1:15" ht="30" customHeight="1" x14ac:dyDescent="0.2">
      <c r="B86" s="282"/>
      <c r="C86" s="296"/>
      <c r="D86" s="283"/>
      <c r="E86" s="298" t="s">
        <v>34</v>
      </c>
      <c r="F86" s="416"/>
      <c r="G86" s="417"/>
      <c r="H86" s="418"/>
      <c r="I86" s="170">
        <f>SUM(I80:I85)</f>
        <v>9781</v>
      </c>
      <c r="J86" s="170">
        <f t="shared" ref="J86:N86" si="32">SUM(J80:J85)</f>
        <v>664.98</v>
      </c>
      <c r="K86" s="224">
        <f t="shared" si="32"/>
        <v>0</v>
      </c>
      <c r="L86" s="224">
        <f t="shared" si="32"/>
        <v>0</v>
      </c>
      <c r="M86" s="170">
        <f>SUM(M80:M85)</f>
        <v>10445.98</v>
      </c>
      <c r="N86" s="174">
        <f t="shared" si="32"/>
        <v>0</v>
      </c>
      <c r="O86" s="52"/>
    </row>
    <row r="87" spans="1:15" ht="30" customHeight="1" x14ac:dyDescent="0.2">
      <c r="B87" s="419" t="s">
        <v>53</v>
      </c>
      <c r="C87" s="420"/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422"/>
      <c r="O87" s="52"/>
    </row>
    <row r="88" spans="1:15" s="5" customFormat="1" ht="30" customHeight="1" x14ac:dyDescent="0.2">
      <c r="B88" s="282">
        <v>61</v>
      </c>
      <c r="C88" s="296"/>
      <c r="D88" s="304" t="s">
        <v>268</v>
      </c>
      <c r="E88" s="283" t="s">
        <v>103</v>
      </c>
      <c r="F88" s="81"/>
      <c r="G88" s="284">
        <v>15</v>
      </c>
      <c r="H88" s="276">
        <v>106.6666</v>
      </c>
      <c r="I88" s="169">
        <f t="shared" ref="I88:I102" si="33">ROUND(G88*H88,2)</f>
        <v>1600</v>
      </c>
      <c r="J88" s="169">
        <f t="shared" ref="J88:J102" si="34"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114.73</v>
      </c>
      <c r="K88" s="223">
        <f t="shared" ref="K88:K102" si="35">IF(H88&lt;=207.44,0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0</v>
      </c>
      <c r="L88" s="223">
        <f t="shared" ref="L88:L102" si="36">K88</f>
        <v>0</v>
      </c>
      <c r="M88" s="169">
        <f t="shared" ref="M88:M102" si="37">I88+J88-L88</f>
        <v>1714.73</v>
      </c>
      <c r="N88" s="173"/>
      <c r="O88" s="52"/>
    </row>
    <row r="89" spans="1:15" ht="30" customHeight="1" x14ac:dyDescent="0.2">
      <c r="B89" s="282">
        <v>62</v>
      </c>
      <c r="C89" s="296"/>
      <c r="D89" s="283" t="s">
        <v>269</v>
      </c>
      <c r="E89" s="283" t="s">
        <v>55</v>
      </c>
      <c r="F89" s="81"/>
      <c r="G89" s="284">
        <v>15</v>
      </c>
      <c r="H89" s="276">
        <v>109.33329999999999</v>
      </c>
      <c r="I89" s="169">
        <f t="shared" si="33"/>
        <v>1640</v>
      </c>
      <c r="J89" s="169">
        <f t="shared" si="34"/>
        <v>112.17</v>
      </c>
      <c r="K89" s="223">
        <f t="shared" si="35"/>
        <v>0</v>
      </c>
      <c r="L89" s="223">
        <f t="shared" si="36"/>
        <v>0</v>
      </c>
      <c r="M89" s="169">
        <v>1752.17</v>
      </c>
      <c r="N89" s="173"/>
      <c r="O89" s="52"/>
    </row>
    <row r="90" spans="1:15" s="91" customFormat="1" ht="30" customHeight="1" x14ac:dyDescent="0.2">
      <c r="A90" s="29"/>
      <c r="B90" s="282">
        <v>63</v>
      </c>
      <c r="C90" s="296" t="s">
        <v>448</v>
      </c>
      <c r="D90" s="283" t="s">
        <v>270</v>
      </c>
      <c r="E90" s="283" t="s">
        <v>119</v>
      </c>
      <c r="F90" s="81"/>
      <c r="G90" s="284">
        <v>15</v>
      </c>
      <c r="H90" s="276">
        <v>89.6</v>
      </c>
      <c r="I90" s="169">
        <f t="shared" si="33"/>
        <v>1344</v>
      </c>
      <c r="J90" s="169">
        <f t="shared" si="34"/>
        <v>131.11000000000001</v>
      </c>
      <c r="K90" s="223">
        <f t="shared" si="35"/>
        <v>0</v>
      </c>
      <c r="L90" s="223">
        <f t="shared" si="36"/>
        <v>0</v>
      </c>
      <c r="M90" s="169">
        <f t="shared" si="37"/>
        <v>1475.1100000000001</v>
      </c>
      <c r="N90" s="173"/>
      <c r="O90" s="52"/>
    </row>
    <row r="91" spans="1:15" ht="30" customHeight="1" x14ac:dyDescent="0.2">
      <c r="B91" s="282">
        <v>64</v>
      </c>
      <c r="C91" s="296"/>
      <c r="D91" s="283" t="s">
        <v>271</v>
      </c>
      <c r="E91" s="283" t="s">
        <v>112</v>
      </c>
      <c r="F91" s="81"/>
      <c r="G91" s="284">
        <v>15</v>
      </c>
      <c r="H91" s="276">
        <v>284.33300000000003</v>
      </c>
      <c r="I91" s="169">
        <f t="shared" si="33"/>
        <v>4265</v>
      </c>
      <c r="J91" s="223">
        <f t="shared" si="34"/>
        <v>0</v>
      </c>
      <c r="K91" s="169">
        <f t="shared" si="35"/>
        <v>307.57</v>
      </c>
      <c r="L91" s="169">
        <f t="shared" si="36"/>
        <v>307.57</v>
      </c>
      <c r="M91" s="169">
        <f t="shared" si="37"/>
        <v>3957.43</v>
      </c>
      <c r="N91" s="173"/>
      <c r="O91" s="52"/>
    </row>
    <row r="92" spans="1:15" ht="30" customHeight="1" x14ac:dyDescent="0.2">
      <c r="B92" s="282">
        <v>65</v>
      </c>
      <c r="C92" s="296"/>
      <c r="D92" s="283" t="s">
        <v>272</v>
      </c>
      <c r="E92" s="283" t="s">
        <v>39</v>
      </c>
      <c r="F92" s="81"/>
      <c r="G92" s="284">
        <v>15</v>
      </c>
      <c r="H92" s="276">
        <v>107.2666</v>
      </c>
      <c r="I92" s="169">
        <f t="shared" si="33"/>
        <v>1609</v>
      </c>
      <c r="J92" s="169">
        <f t="shared" si="34"/>
        <v>114.15</v>
      </c>
      <c r="K92" s="223">
        <f t="shared" si="35"/>
        <v>0</v>
      </c>
      <c r="L92" s="223">
        <f t="shared" si="36"/>
        <v>0</v>
      </c>
      <c r="M92" s="169">
        <f t="shared" si="37"/>
        <v>1723.15</v>
      </c>
      <c r="N92" s="173"/>
      <c r="O92" s="52"/>
    </row>
    <row r="93" spans="1:15" s="5" customFormat="1" ht="30" customHeight="1" x14ac:dyDescent="0.2">
      <c r="B93" s="282">
        <v>66</v>
      </c>
      <c r="C93" s="296"/>
      <c r="D93" s="283" t="s">
        <v>273</v>
      </c>
      <c r="E93" s="283" t="s">
        <v>39</v>
      </c>
      <c r="F93" s="81"/>
      <c r="G93" s="284">
        <v>15</v>
      </c>
      <c r="H93" s="276">
        <v>107.2666</v>
      </c>
      <c r="I93" s="169">
        <f>ROUND(G93*H93,2)</f>
        <v>1609</v>
      </c>
      <c r="J93" s="169">
        <f t="shared" si="34"/>
        <v>114.15</v>
      </c>
      <c r="K93" s="223">
        <f t="shared" si="35"/>
        <v>0</v>
      </c>
      <c r="L93" s="223">
        <f t="shared" si="36"/>
        <v>0</v>
      </c>
      <c r="M93" s="169">
        <f t="shared" si="37"/>
        <v>1723.15</v>
      </c>
      <c r="N93" s="173"/>
      <c r="O93" s="52"/>
    </row>
    <row r="94" spans="1:15" ht="30" customHeight="1" x14ac:dyDescent="0.2">
      <c r="B94" s="282">
        <v>67</v>
      </c>
      <c r="C94" s="296"/>
      <c r="D94" s="283" t="s">
        <v>274</v>
      </c>
      <c r="E94" s="283" t="s">
        <v>127</v>
      </c>
      <c r="F94" s="81"/>
      <c r="G94" s="284">
        <v>15</v>
      </c>
      <c r="H94" s="276">
        <v>107.2666</v>
      </c>
      <c r="I94" s="169">
        <f>ROUND(G94*H94,2)</f>
        <v>1609</v>
      </c>
      <c r="J94" s="169">
        <f t="shared" si="34"/>
        <v>114.15</v>
      </c>
      <c r="K94" s="223">
        <f t="shared" si="35"/>
        <v>0</v>
      </c>
      <c r="L94" s="223">
        <f t="shared" si="36"/>
        <v>0</v>
      </c>
      <c r="M94" s="169">
        <f t="shared" si="37"/>
        <v>1723.15</v>
      </c>
      <c r="N94" s="173"/>
      <c r="O94" s="52"/>
    </row>
    <row r="95" spans="1:15" ht="30" customHeight="1" x14ac:dyDescent="0.2">
      <c r="B95" s="282">
        <v>68</v>
      </c>
      <c r="C95" s="296"/>
      <c r="D95" s="283" t="s">
        <v>276</v>
      </c>
      <c r="E95" s="283" t="s">
        <v>71</v>
      </c>
      <c r="F95" s="284"/>
      <c r="G95" s="284">
        <v>15</v>
      </c>
      <c r="H95" s="276">
        <v>78.733000000000004</v>
      </c>
      <c r="I95" s="169">
        <f t="shared" si="33"/>
        <v>1181</v>
      </c>
      <c r="J95" s="169">
        <f t="shared" si="34"/>
        <v>141.65</v>
      </c>
      <c r="K95" s="223">
        <f t="shared" si="35"/>
        <v>0</v>
      </c>
      <c r="L95" s="223">
        <f t="shared" si="36"/>
        <v>0</v>
      </c>
      <c r="M95" s="169">
        <f t="shared" si="37"/>
        <v>1322.65</v>
      </c>
      <c r="N95" s="173"/>
      <c r="O95" s="52"/>
    </row>
    <row r="96" spans="1:15" s="91" customFormat="1" ht="30" customHeight="1" x14ac:dyDescent="0.2">
      <c r="A96" s="29"/>
      <c r="B96" s="282">
        <v>69</v>
      </c>
      <c r="C96" s="296" t="s">
        <v>448</v>
      </c>
      <c r="D96" s="283" t="s">
        <v>275</v>
      </c>
      <c r="E96" s="283" t="s">
        <v>67</v>
      </c>
      <c r="F96" s="81"/>
      <c r="G96" s="284">
        <v>15</v>
      </c>
      <c r="H96" s="276">
        <v>202.4</v>
      </c>
      <c r="I96" s="169">
        <f t="shared" si="33"/>
        <v>3036</v>
      </c>
      <c r="J96" s="169">
        <f t="shared" si="34"/>
        <v>0</v>
      </c>
      <c r="K96" s="223">
        <f t="shared" si="35"/>
        <v>0</v>
      </c>
      <c r="L96" s="223">
        <f t="shared" si="36"/>
        <v>0</v>
      </c>
      <c r="M96" s="169">
        <f t="shared" si="37"/>
        <v>3036</v>
      </c>
      <c r="N96" s="173"/>
      <c r="O96" s="52"/>
    </row>
    <row r="97" spans="1:15" s="91" customFormat="1" ht="30" customHeight="1" x14ac:dyDescent="0.2">
      <c r="A97" s="29"/>
      <c r="B97" s="282">
        <v>70</v>
      </c>
      <c r="C97" s="296"/>
      <c r="D97" s="283" t="s">
        <v>277</v>
      </c>
      <c r="E97" s="283" t="s">
        <v>57</v>
      </c>
      <c r="F97" s="81"/>
      <c r="G97" s="284">
        <v>15</v>
      </c>
      <c r="H97" s="276">
        <v>78.733000000000004</v>
      </c>
      <c r="I97" s="169">
        <f t="shared" si="33"/>
        <v>1181</v>
      </c>
      <c r="J97" s="169">
        <f t="shared" si="34"/>
        <v>141.65</v>
      </c>
      <c r="K97" s="223">
        <f t="shared" si="35"/>
        <v>0</v>
      </c>
      <c r="L97" s="223">
        <f t="shared" si="36"/>
        <v>0</v>
      </c>
      <c r="M97" s="169">
        <f t="shared" si="37"/>
        <v>1322.65</v>
      </c>
      <c r="N97" s="173"/>
      <c r="O97" s="52"/>
    </row>
    <row r="98" spans="1:15" s="91" customFormat="1" ht="30" customHeight="1" x14ac:dyDescent="0.2">
      <c r="A98" s="29"/>
      <c r="B98" s="282">
        <v>71</v>
      </c>
      <c r="C98" s="296" t="s">
        <v>448</v>
      </c>
      <c r="D98" s="283" t="s">
        <v>478</v>
      </c>
      <c r="E98" s="283" t="s">
        <v>57</v>
      </c>
      <c r="F98" s="81"/>
      <c r="G98" s="284">
        <v>15</v>
      </c>
      <c r="H98" s="276">
        <v>78.733000000000004</v>
      </c>
      <c r="I98" s="169">
        <f t="shared" ref="I98" si="38">ROUND(G98*H98,2)</f>
        <v>1181</v>
      </c>
      <c r="J98" s="169">
        <f t="shared" ref="J98" si="39">IFERROR(IF(ROUND((((I98/G98*30.4)-VLOOKUP((I98/G98*30.4),TARIFA,1))*VLOOKUP((I98/G98*30.4),TARIFA,3)+VLOOKUP((I98/G98*30.4),TARIFA,2)-VLOOKUP((I98/G98*30.4),SUBSIDIO,2))/30.4*G98,2)&lt;0,ROUND(-(((I98/G98*30.4)-VLOOKUP((I98/G98*30.4),TARIFA,1))*VLOOKUP((I98/G98*30.4),TARIFA,3)+VLOOKUP((I98/G98*30.4),TARIFA,2)-VLOOKUP((I98/G98*30.4),SUBSIDIO,2))/30.4*G98,2),0),0)</f>
        <v>141.65</v>
      </c>
      <c r="K98" s="223">
        <f t="shared" ref="K98" si="40">IF(H98&lt;=207.44,0,(IFERROR(IF(ROUND((((I98/G98*30.4)-VLOOKUP((I98/G98*30.4),TARIFA,1))*VLOOKUP((I98/G98*30.4),TARIFA,3)+VLOOKUP((I98/G98*30.4),TARIFA,2)-VLOOKUP((I98/G98*30.4),SUBSIDIO,2))/30.4*G98,2)&gt;0,ROUND((((I98/G98*30.4)-VLOOKUP((I98/G98*30.4),TARIFA,1))*VLOOKUP((I98/G98*30.4),TARIFA,3)+VLOOKUP((I98/G98*30.4),TARIFA,2)-VLOOKUP((I98/G98*30.4),SUBSIDIO,2))/30.4*G98,2),0),0)))</f>
        <v>0</v>
      </c>
      <c r="L98" s="223">
        <f t="shared" ref="L98" si="41">K98</f>
        <v>0</v>
      </c>
      <c r="M98" s="169">
        <f t="shared" ref="M98" si="42">I98+J98-L98</f>
        <v>1322.65</v>
      </c>
      <c r="N98" s="173"/>
      <c r="O98" s="52"/>
    </row>
    <row r="99" spans="1:15" ht="30" customHeight="1" x14ac:dyDescent="0.2">
      <c r="B99" s="282">
        <v>72</v>
      </c>
      <c r="C99" s="296"/>
      <c r="D99" s="283" t="s">
        <v>278</v>
      </c>
      <c r="E99" s="283" t="s">
        <v>66</v>
      </c>
      <c r="F99" s="81"/>
      <c r="G99" s="284">
        <v>15</v>
      </c>
      <c r="H99" s="276">
        <v>170.733</v>
      </c>
      <c r="I99" s="169">
        <f t="shared" si="33"/>
        <v>2561</v>
      </c>
      <c r="J99" s="169">
        <f t="shared" si="34"/>
        <v>12.89</v>
      </c>
      <c r="K99" s="223">
        <f t="shared" si="35"/>
        <v>0</v>
      </c>
      <c r="L99" s="223">
        <f t="shared" si="36"/>
        <v>0</v>
      </c>
      <c r="M99" s="169">
        <f t="shared" si="37"/>
        <v>2573.89</v>
      </c>
      <c r="N99" s="173"/>
      <c r="O99" s="52"/>
    </row>
    <row r="100" spans="1:15" ht="30" customHeight="1" x14ac:dyDescent="0.2">
      <c r="B100" s="282">
        <v>73</v>
      </c>
      <c r="C100" s="296"/>
      <c r="D100" s="283" t="s">
        <v>279</v>
      </c>
      <c r="E100" s="283" t="s">
        <v>126</v>
      </c>
      <c r="F100" s="81"/>
      <c r="G100" s="284">
        <v>15</v>
      </c>
      <c r="H100" s="276">
        <v>78.733000000000004</v>
      </c>
      <c r="I100" s="169">
        <f t="shared" si="33"/>
        <v>1181</v>
      </c>
      <c r="J100" s="169">
        <f t="shared" si="34"/>
        <v>141.65</v>
      </c>
      <c r="K100" s="223">
        <f t="shared" si="35"/>
        <v>0</v>
      </c>
      <c r="L100" s="223">
        <f t="shared" si="36"/>
        <v>0</v>
      </c>
      <c r="M100" s="169">
        <f t="shared" si="37"/>
        <v>1322.65</v>
      </c>
      <c r="N100" s="173"/>
      <c r="O100" s="52"/>
    </row>
    <row r="101" spans="1:15" ht="30" customHeight="1" x14ac:dyDescent="0.2">
      <c r="B101" s="282">
        <v>74</v>
      </c>
      <c r="C101" s="296" t="s">
        <v>448</v>
      </c>
      <c r="D101" s="283" t="s">
        <v>465</v>
      </c>
      <c r="E101" s="283" t="s">
        <v>55</v>
      </c>
      <c r="F101" s="82"/>
      <c r="G101" s="284">
        <v>15</v>
      </c>
      <c r="H101" s="305">
        <v>91.372399999999999</v>
      </c>
      <c r="I101" s="169">
        <f t="shared" si="33"/>
        <v>1370.59</v>
      </c>
      <c r="J101" s="169">
        <f t="shared" si="34"/>
        <v>129.41</v>
      </c>
      <c r="K101" s="223">
        <f t="shared" si="35"/>
        <v>0</v>
      </c>
      <c r="L101" s="223">
        <f t="shared" si="36"/>
        <v>0</v>
      </c>
      <c r="M101" s="169">
        <f t="shared" si="37"/>
        <v>1500</v>
      </c>
      <c r="N101" s="173"/>
      <c r="O101" s="52"/>
    </row>
    <row r="102" spans="1:15" s="91" customFormat="1" ht="30" customHeight="1" x14ac:dyDescent="0.2">
      <c r="A102" s="29"/>
      <c r="B102" s="282">
        <v>75</v>
      </c>
      <c r="C102" s="296" t="s">
        <v>448</v>
      </c>
      <c r="D102" s="283" t="s">
        <v>172</v>
      </c>
      <c r="E102" s="283" t="s">
        <v>43</v>
      </c>
      <c r="F102" s="82"/>
      <c r="G102" s="284">
        <v>15</v>
      </c>
      <c r="H102" s="305">
        <v>165.66659999999999</v>
      </c>
      <c r="I102" s="169">
        <f t="shared" si="33"/>
        <v>2485</v>
      </c>
      <c r="J102" s="169">
        <f t="shared" si="34"/>
        <v>17.75</v>
      </c>
      <c r="K102" s="223">
        <f t="shared" si="35"/>
        <v>0</v>
      </c>
      <c r="L102" s="223">
        <f t="shared" si="36"/>
        <v>0</v>
      </c>
      <c r="M102" s="169">
        <f t="shared" si="37"/>
        <v>2502.75</v>
      </c>
      <c r="N102" s="173"/>
      <c r="O102" s="52"/>
    </row>
    <row r="103" spans="1:15" ht="30" customHeight="1" x14ac:dyDescent="0.2">
      <c r="B103" s="282"/>
      <c r="C103" s="296"/>
      <c r="D103" s="283"/>
      <c r="E103" s="298" t="s">
        <v>34</v>
      </c>
      <c r="F103" s="416"/>
      <c r="G103" s="417"/>
      <c r="H103" s="418"/>
      <c r="I103" s="170">
        <f t="shared" ref="I103:N103" si="43">SUM(I88:I102)</f>
        <v>27852.59</v>
      </c>
      <c r="J103" s="170">
        <f t="shared" si="43"/>
        <v>1427.1100000000001</v>
      </c>
      <c r="K103" s="170">
        <f t="shared" si="43"/>
        <v>307.57</v>
      </c>
      <c r="L103" s="170">
        <f t="shared" si="43"/>
        <v>307.57</v>
      </c>
      <c r="M103" s="170">
        <f t="shared" si="43"/>
        <v>28972.130000000005</v>
      </c>
      <c r="N103" s="174">
        <f t="shared" si="43"/>
        <v>0</v>
      </c>
      <c r="O103" s="52"/>
    </row>
    <row r="104" spans="1:15" ht="30" customHeight="1" x14ac:dyDescent="0.2">
      <c r="B104" s="419" t="s">
        <v>54</v>
      </c>
      <c r="C104" s="420"/>
      <c r="D104" s="421"/>
      <c r="E104" s="421"/>
      <c r="F104" s="421"/>
      <c r="G104" s="421"/>
      <c r="H104" s="421"/>
      <c r="I104" s="421"/>
      <c r="J104" s="421"/>
      <c r="K104" s="421"/>
      <c r="L104" s="421"/>
      <c r="M104" s="421"/>
      <c r="N104" s="422"/>
      <c r="O104" s="52"/>
    </row>
    <row r="105" spans="1:15" ht="30" customHeight="1" x14ac:dyDescent="0.2">
      <c r="B105" s="282">
        <v>76</v>
      </c>
      <c r="C105" s="296"/>
      <c r="D105" s="283" t="s">
        <v>232</v>
      </c>
      <c r="E105" s="283" t="s">
        <v>57</v>
      </c>
      <c r="F105" s="81"/>
      <c r="G105" s="284">
        <v>15</v>
      </c>
      <c r="H105" s="276">
        <v>118.13330000000001</v>
      </c>
      <c r="I105" s="169">
        <f t="shared" ref="I105:I119" si="44">ROUND(G105*H105,2)</f>
        <v>1772</v>
      </c>
      <c r="J105" s="169">
        <f t="shared" ref="J105:J119" si="45">IFERROR(IF(ROUND((((I105/G105*30.4)-VLOOKUP((I105/G105*30.4),TARIFA,1))*VLOOKUP((I105/G105*30.4),TARIFA,3)+VLOOKUP((I105/G105*30.4),TARIFA,2)-VLOOKUP((I105/G105*30.4),SUBSIDIO,2))/30.4*G105,2)&lt;0,ROUND(-(((I105/G105*30.4)-VLOOKUP((I105/G105*30.4),TARIFA,1))*VLOOKUP((I105/G105*30.4),TARIFA,3)+VLOOKUP((I105/G105*30.4),TARIFA,2)-VLOOKUP((I105/G105*30.4),SUBSIDIO,2))/30.4*G105,2),0),0)</f>
        <v>91.8</v>
      </c>
      <c r="K105" s="223">
        <f t="shared" ref="K105:K119" si="46">IF(H105&lt;=207.44,0,(IFERROR(IF(ROUND((((I105/G105*30.4)-VLOOKUP((I105/G105*30.4),TARIFA,1))*VLOOKUP((I105/G105*30.4),TARIFA,3)+VLOOKUP((I105/G105*30.4),TARIFA,2)-VLOOKUP((I105/G105*30.4),SUBSIDIO,2))/30.4*G105,2)&gt;0,ROUND((((I105/G105*30.4)-VLOOKUP((I105/G105*30.4),TARIFA,1))*VLOOKUP((I105/G105*30.4),TARIFA,3)+VLOOKUP((I105/G105*30.4),TARIFA,2)-VLOOKUP((I105/G105*30.4),SUBSIDIO,2))/30.4*G105,2),0),0)))</f>
        <v>0</v>
      </c>
      <c r="L105" s="223">
        <f t="shared" ref="L105:L119" si="47">K105</f>
        <v>0</v>
      </c>
      <c r="M105" s="169">
        <f t="shared" ref="M105:M119" si="48">I105+J105-L105</f>
        <v>1863.8</v>
      </c>
      <c r="N105" s="173"/>
      <c r="O105" s="52"/>
    </row>
    <row r="106" spans="1:15" ht="30" customHeight="1" x14ac:dyDescent="0.2">
      <c r="B106" s="282">
        <v>77</v>
      </c>
      <c r="C106" s="296" t="s">
        <v>448</v>
      </c>
      <c r="D106" s="283" t="s">
        <v>193</v>
      </c>
      <c r="E106" s="283" t="s">
        <v>130</v>
      </c>
      <c r="F106" s="81"/>
      <c r="G106" s="284">
        <v>15</v>
      </c>
      <c r="H106" s="276">
        <v>78.8</v>
      </c>
      <c r="I106" s="169">
        <f t="shared" si="44"/>
        <v>1182</v>
      </c>
      <c r="J106" s="169">
        <f t="shared" si="45"/>
        <v>141.58000000000001</v>
      </c>
      <c r="K106" s="223">
        <f t="shared" si="46"/>
        <v>0</v>
      </c>
      <c r="L106" s="223">
        <f t="shared" si="47"/>
        <v>0</v>
      </c>
      <c r="M106" s="169">
        <f t="shared" si="48"/>
        <v>1323.58</v>
      </c>
      <c r="N106" s="173"/>
      <c r="O106" s="52"/>
    </row>
    <row r="107" spans="1:15" ht="30" customHeight="1" x14ac:dyDescent="0.2">
      <c r="A107" s="29">
        <v>82</v>
      </c>
      <c r="B107" s="282">
        <v>78</v>
      </c>
      <c r="C107" s="296"/>
      <c r="D107" s="283" t="s">
        <v>280</v>
      </c>
      <c r="E107" s="283" t="s">
        <v>130</v>
      </c>
      <c r="F107" s="81"/>
      <c r="G107" s="284">
        <v>15</v>
      </c>
      <c r="H107" s="276">
        <v>78.8</v>
      </c>
      <c r="I107" s="169">
        <f t="shared" si="44"/>
        <v>1182</v>
      </c>
      <c r="J107" s="169">
        <f t="shared" si="45"/>
        <v>141.58000000000001</v>
      </c>
      <c r="K107" s="223">
        <f t="shared" si="46"/>
        <v>0</v>
      </c>
      <c r="L107" s="223">
        <f t="shared" si="47"/>
        <v>0</v>
      </c>
      <c r="M107" s="169">
        <f t="shared" si="48"/>
        <v>1323.58</v>
      </c>
      <c r="N107" s="173"/>
      <c r="O107" s="52"/>
    </row>
    <row r="108" spans="1:15" ht="30" customHeight="1" x14ac:dyDescent="0.2">
      <c r="B108" s="282">
        <v>79</v>
      </c>
      <c r="C108" s="296"/>
      <c r="D108" s="283" t="s">
        <v>281</v>
      </c>
      <c r="E108" s="283" t="s">
        <v>131</v>
      </c>
      <c r="F108" s="81"/>
      <c r="G108" s="284">
        <v>15</v>
      </c>
      <c r="H108" s="276">
        <v>100</v>
      </c>
      <c r="I108" s="169">
        <f t="shared" si="44"/>
        <v>1500</v>
      </c>
      <c r="J108" s="169">
        <f t="shared" si="45"/>
        <v>121.13</v>
      </c>
      <c r="K108" s="223">
        <f t="shared" si="46"/>
        <v>0</v>
      </c>
      <c r="L108" s="223">
        <f t="shared" si="47"/>
        <v>0</v>
      </c>
      <c r="M108" s="169">
        <f t="shared" si="48"/>
        <v>1621.13</v>
      </c>
      <c r="N108" s="173"/>
      <c r="O108" s="52"/>
    </row>
    <row r="109" spans="1:15" ht="30" customHeight="1" x14ac:dyDescent="0.2">
      <c r="B109" s="282">
        <v>80</v>
      </c>
      <c r="C109" s="296"/>
      <c r="D109" s="283" t="s">
        <v>395</v>
      </c>
      <c r="E109" s="283" t="s">
        <v>66</v>
      </c>
      <c r="F109" s="81"/>
      <c r="G109" s="284">
        <v>15</v>
      </c>
      <c r="H109" s="276">
        <v>186.35</v>
      </c>
      <c r="I109" s="169">
        <v>2812.29</v>
      </c>
      <c r="J109" s="223">
        <f>IFERROR(IF(ROUND((((I109/G109*30.4)-VLOOKUP((I109/G109*30.4),TARIFA,1))*VLOOKUP((I109/G109*30.4),TARIFA,3)+VLOOKUP((I109/G109*30.4),TARIFA,2)-VLOOKUP((I109/G109*30.4),SUBSIDIO,2))/30.4*G109,2)&lt;0,ROUND(-(((I109/G109*30.4)-VLOOKUP((I109/G109*30.4),TARIFA,1))*VLOOKUP((I109/G109*30.4),TARIFA,3)+VLOOKUP((I109/G109*30.4),TARIFA,2)-VLOOKUP((I109/G109*30.4),SUBSIDIO,2))/30.4*G109,2),0),0)</f>
        <v>0</v>
      </c>
      <c r="K109" s="223">
        <v>17.04</v>
      </c>
      <c r="L109" s="223">
        <f>K109</f>
        <v>17.04</v>
      </c>
      <c r="M109" s="169">
        <f>I109+J109-L109</f>
        <v>2795.25</v>
      </c>
      <c r="N109" s="173"/>
      <c r="O109" s="52"/>
    </row>
    <row r="110" spans="1:15" s="91" customFormat="1" ht="30" customHeight="1" x14ac:dyDescent="0.2">
      <c r="A110" s="29"/>
      <c r="B110" s="282">
        <v>81</v>
      </c>
      <c r="C110" s="296" t="s">
        <v>448</v>
      </c>
      <c r="D110" s="283" t="s">
        <v>282</v>
      </c>
      <c r="E110" s="283" t="s">
        <v>68</v>
      </c>
      <c r="F110" s="81"/>
      <c r="G110" s="284">
        <v>15</v>
      </c>
      <c r="H110" s="276">
        <v>100</v>
      </c>
      <c r="I110" s="169">
        <f t="shared" si="44"/>
        <v>1500</v>
      </c>
      <c r="J110" s="169">
        <f t="shared" si="45"/>
        <v>121.13</v>
      </c>
      <c r="K110" s="223">
        <f t="shared" si="46"/>
        <v>0</v>
      </c>
      <c r="L110" s="223">
        <f t="shared" si="47"/>
        <v>0</v>
      </c>
      <c r="M110" s="169">
        <f t="shared" si="48"/>
        <v>1621.13</v>
      </c>
      <c r="N110" s="173"/>
      <c r="O110" s="52"/>
    </row>
    <row r="111" spans="1:15" s="91" customFormat="1" ht="30" customHeight="1" x14ac:dyDescent="0.2">
      <c r="A111" s="29"/>
      <c r="B111" s="282">
        <v>82</v>
      </c>
      <c r="C111" s="296" t="s">
        <v>448</v>
      </c>
      <c r="D111" s="283" t="s">
        <v>469</v>
      </c>
      <c r="E111" s="283" t="s">
        <v>66</v>
      </c>
      <c r="F111" s="81"/>
      <c r="G111" s="284">
        <v>15</v>
      </c>
      <c r="H111" s="276">
        <v>184</v>
      </c>
      <c r="I111" s="169">
        <v>2786.3719999999998</v>
      </c>
      <c r="J111" s="169">
        <f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0</v>
      </c>
      <c r="K111" s="223">
        <v>15.42</v>
      </c>
      <c r="L111" s="223">
        <f>K111</f>
        <v>15.42</v>
      </c>
      <c r="M111" s="169">
        <f>I111+J111-L111</f>
        <v>2770.9519999999998</v>
      </c>
      <c r="N111" s="173"/>
      <c r="O111" s="52"/>
    </row>
    <row r="112" spans="1:15" s="91" customFormat="1" ht="30" customHeight="1" x14ac:dyDescent="0.2">
      <c r="A112" s="29"/>
      <c r="B112" s="282">
        <v>83</v>
      </c>
      <c r="C112" s="296" t="s">
        <v>448</v>
      </c>
      <c r="D112" s="283" t="s">
        <v>283</v>
      </c>
      <c r="E112" s="283" t="s">
        <v>68</v>
      </c>
      <c r="F112" s="81"/>
      <c r="G112" s="284">
        <v>15</v>
      </c>
      <c r="H112" s="276">
        <v>80</v>
      </c>
      <c r="I112" s="169">
        <f t="shared" si="44"/>
        <v>1200</v>
      </c>
      <c r="J112" s="169">
        <f t="shared" si="45"/>
        <v>140.43</v>
      </c>
      <c r="K112" s="223">
        <f t="shared" si="46"/>
        <v>0</v>
      </c>
      <c r="L112" s="223">
        <f t="shared" si="47"/>
        <v>0</v>
      </c>
      <c r="M112" s="169">
        <f t="shared" si="48"/>
        <v>1340.43</v>
      </c>
      <c r="N112" s="173"/>
      <c r="O112" s="52"/>
    </row>
    <row r="113" spans="1:15" ht="30" customHeight="1" x14ac:dyDescent="0.2">
      <c r="B113" s="282">
        <v>84</v>
      </c>
      <c r="C113" s="296"/>
      <c r="D113" s="283" t="s">
        <v>176</v>
      </c>
      <c r="E113" s="283" t="s">
        <v>68</v>
      </c>
      <c r="F113" s="81"/>
      <c r="G113" s="284">
        <v>15</v>
      </c>
      <c r="H113" s="276">
        <v>98.666600000000003</v>
      </c>
      <c r="I113" s="169">
        <f t="shared" si="44"/>
        <v>1480</v>
      </c>
      <c r="J113" s="169">
        <f t="shared" si="45"/>
        <v>122.41</v>
      </c>
      <c r="K113" s="223">
        <f t="shared" si="46"/>
        <v>0</v>
      </c>
      <c r="L113" s="223">
        <f t="shared" si="47"/>
        <v>0</v>
      </c>
      <c r="M113" s="169">
        <f t="shared" si="48"/>
        <v>1602.41</v>
      </c>
      <c r="N113" s="173"/>
      <c r="O113" s="52"/>
    </row>
    <row r="114" spans="1:15" s="91" customFormat="1" ht="30" customHeight="1" x14ac:dyDescent="0.2">
      <c r="A114" s="29"/>
      <c r="B114" s="282">
        <v>85</v>
      </c>
      <c r="C114" s="296" t="s">
        <v>448</v>
      </c>
      <c r="D114" s="283" t="s">
        <v>289</v>
      </c>
      <c r="E114" s="283" t="s">
        <v>73</v>
      </c>
      <c r="F114" s="81"/>
      <c r="G114" s="284">
        <v>15</v>
      </c>
      <c r="H114" s="276">
        <v>124.733</v>
      </c>
      <c r="I114" s="169">
        <f t="shared" si="44"/>
        <v>1871</v>
      </c>
      <c r="J114" s="169">
        <f t="shared" si="45"/>
        <v>85.46</v>
      </c>
      <c r="K114" s="223">
        <f t="shared" si="46"/>
        <v>0</v>
      </c>
      <c r="L114" s="223">
        <f t="shared" si="47"/>
        <v>0</v>
      </c>
      <c r="M114" s="169">
        <f t="shared" si="48"/>
        <v>1956.46</v>
      </c>
      <c r="N114" s="173"/>
      <c r="O114" s="52"/>
    </row>
    <row r="115" spans="1:15" ht="30" customHeight="1" x14ac:dyDescent="0.2">
      <c r="B115" s="282">
        <v>86</v>
      </c>
      <c r="C115" s="296"/>
      <c r="D115" s="283" t="s">
        <v>288</v>
      </c>
      <c r="E115" s="283" t="s">
        <v>72</v>
      </c>
      <c r="F115" s="81"/>
      <c r="G115" s="284">
        <v>15</v>
      </c>
      <c r="H115" s="276">
        <v>212.33330000000001</v>
      </c>
      <c r="I115" s="169">
        <f t="shared" si="44"/>
        <v>3185</v>
      </c>
      <c r="J115" s="223">
        <f t="shared" si="45"/>
        <v>0</v>
      </c>
      <c r="K115" s="169">
        <f t="shared" si="46"/>
        <v>64.959999999999994</v>
      </c>
      <c r="L115" s="169">
        <f t="shared" si="47"/>
        <v>64.959999999999994</v>
      </c>
      <c r="M115" s="169">
        <f t="shared" si="48"/>
        <v>3120.04</v>
      </c>
      <c r="N115" s="173"/>
      <c r="O115" s="52"/>
    </row>
    <row r="116" spans="1:15" s="91" customFormat="1" ht="30" customHeight="1" x14ac:dyDescent="0.2">
      <c r="A116" s="29"/>
      <c r="B116" s="282">
        <v>87</v>
      </c>
      <c r="C116" s="296" t="s">
        <v>448</v>
      </c>
      <c r="D116" s="283" t="s">
        <v>287</v>
      </c>
      <c r="E116" s="283" t="s">
        <v>72</v>
      </c>
      <c r="F116" s="81"/>
      <c r="G116" s="284">
        <v>15</v>
      </c>
      <c r="H116" s="276">
        <v>100</v>
      </c>
      <c r="I116" s="169">
        <f t="shared" si="44"/>
        <v>1500</v>
      </c>
      <c r="J116" s="169">
        <f t="shared" si="45"/>
        <v>121.13</v>
      </c>
      <c r="K116" s="223">
        <f t="shared" si="46"/>
        <v>0</v>
      </c>
      <c r="L116" s="223">
        <f t="shared" si="47"/>
        <v>0</v>
      </c>
      <c r="M116" s="169">
        <f t="shared" si="48"/>
        <v>1621.13</v>
      </c>
      <c r="N116" s="173"/>
      <c r="O116" s="52"/>
    </row>
    <row r="117" spans="1:15" s="92" customFormat="1" ht="30" customHeight="1" x14ac:dyDescent="0.2">
      <c r="A117" s="29"/>
      <c r="B117" s="282">
        <v>88</v>
      </c>
      <c r="C117" s="296" t="s">
        <v>448</v>
      </c>
      <c r="D117" s="283" t="s">
        <v>286</v>
      </c>
      <c r="E117" s="283" t="s">
        <v>38</v>
      </c>
      <c r="F117" s="81"/>
      <c r="G117" s="284">
        <v>15</v>
      </c>
      <c r="H117" s="276">
        <v>133.333</v>
      </c>
      <c r="I117" s="169">
        <f t="shared" si="44"/>
        <v>2000</v>
      </c>
      <c r="J117" s="169">
        <f t="shared" si="45"/>
        <v>77.209999999999994</v>
      </c>
      <c r="K117" s="223">
        <f t="shared" si="46"/>
        <v>0</v>
      </c>
      <c r="L117" s="223">
        <f t="shared" si="47"/>
        <v>0</v>
      </c>
      <c r="M117" s="169">
        <f t="shared" si="48"/>
        <v>2077.21</v>
      </c>
      <c r="N117" s="173"/>
      <c r="O117" s="102"/>
    </row>
    <row r="118" spans="1:15" s="28" customFormat="1" ht="30" customHeight="1" x14ac:dyDescent="0.2">
      <c r="A118" s="29"/>
      <c r="B118" s="282">
        <v>89</v>
      </c>
      <c r="C118" s="296"/>
      <c r="D118" s="283" t="s">
        <v>285</v>
      </c>
      <c r="E118" s="283" t="s">
        <v>132</v>
      </c>
      <c r="F118" s="81"/>
      <c r="G118" s="284">
        <v>15</v>
      </c>
      <c r="H118" s="276">
        <v>128.4666</v>
      </c>
      <c r="I118" s="169">
        <f t="shared" si="44"/>
        <v>1927</v>
      </c>
      <c r="J118" s="169">
        <f t="shared" si="45"/>
        <v>81.88</v>
      </c>
      <c r="K118" s="223">
        <f t="shared" si="46"/>
        <v>0</v>
      </c>
      <c r="L118" s="223">
        <f t="shared" si="47"/>
        <v>0</v>
      </c>
      <c r="M118" s="169">
        <f t="shared" si="48"/>
        <v>2008.88</v>
      </c>
      <c r="N118" s="173"/>
      <c r="O118" s="102"/>
    </row>
    <row r="119" spans="1:15" s="92" customFormat="1" ht="30" customHeight="1" x14ac:dyDescent="0.2">
      <c r="A119" s="29"/>
      <c r="B119" s="282">
        <v>90</v>
      </c>
      <c r="C119" s="296" t="s">
        <v>448</v>
      </c>
      <c r="D119" s="283" t="s">
        <v>284</v>
      </c>
      <c r="E119" s="283" t="s">
        <v>103</v>
      </c>
      <c r="F119" s="81"/>
      <c r="G119" s="284">
        <v>15</v>
      </c>
      <c r="H119" s="276">
        <v>100</v>
      </c>
      <c r="I119" s="169">
        <f t="shared" si="44"/>
        <v>1500</v>
      </c>
      <c r="J119" s="169">
        <f t="shared" si="45"/>
        <v>121.13</v>
      </c>
      <c r="K119" s="223">
        <f t="shared" si="46"/>
        <v>0</v>
      </c>
      <c r="L119" s="223">
        <f t="shared" si="47"/>
        <v>0</v>
      </c>
      <c r="M119" s="169">
        <f t="shared" si="48"/>
        <v>1621.13</v>
      </c>
      <c r="N119" s="173"/>
      <c r="O119" s="102"/>
    </row>
    <row r="120" spans="1:15" ht="30" customHeight="1" x14ac:dyDescent="0.2">
      <c r="B120" s="282"/>
      <c r="C120" s="296"/>
      <c r="D120" s="283"/>
      <c r="E120" s="298" t="s">
        <v>34</v>
      </c>
      <c r="F120" s="416"/>
      <c r="G120" s="417"/>
      <c r="H120" s="418"/>
      <c r="I120" s="170">
        <f>SUM(I105:I119)</f>
        <v>27397.662</v>
      </c>
      <c r="J120" s="170">
        <f t="shared" ref="J120:N120" si="49">SUM(J105:J119)</f>
        <v>1366.8700000000003</v>
      </c>
      <c r="K120" s="170">
        <f t="shared" si="49"/>
        <v>97.419999999999987</v>
      </c>
      <c r="L120" s="170">
        <f t="shared" si="49"/>
        <v>97.419999999999987</v>
      </c>
      <c r="M120" s="170">
        <f>SUM(M105:M119)</f>
        <v>28667.112000000005</v>
      </c>
      <c r="N120" s="174">
        <f t="shared" si="49"/>
        <v>0</v>
      </c>
      <c r="O120" s="52"/>
    </row>
    <row r="121" spans="1:15" ht="30" customHeight="1" x14ac:dyDescent="0.2">
      <c r="B121" s="419" t="s">
        <v>56</v>
      </c>
      <c r="C121" s="420"/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  <c r="N121" s="422"/>
      <c r="O121" s="52"/>
    </row>
    <row r="122" spans="1:15" s="91" customFormat="1" ht="30" customHeight="1" x14ac:dyDescent="0.2">
      <c r="A122" s="29"/>
      <c r="B122" s="282">
        <v>91</v>
      </c>
      <c r="C122" s="296" t="s">
        <v>448</v>
      </c>
      <c r="D122" s="283" t="s">
        <v>290</v>
      </c>
      <c r="E122" s="283" t="s">
        <v>128</v>
      </c>
      <c r="F122" s="81"/>
      <c r="G122" s="284">
        <v>15</v>
      </c>
      <c r="H122" s="299">
        <v>179.13300000000001</v>
      </c>
      <c r="I122" s="169">
        <f t="shared" ref="I122:I126" si="50">ROUND(G122*H122,2)</f>
        <v>2687</v>
      </c>
      <c r="J122" s="223">
        <f t="shared" ref="J122:J126" si="51">IFERROR(IF(ROUND((((I122/G122*30.4)-VLOOKUP((I122/G122*30.4),TARIFA,1))*VLOOKUP((I122/G122*30.4),TARIFA,3)+VLOOKUP((I122/G122*30.4),TARIFA,2)-VLOOKUP((I122/G122*30.4),SUBSIDIO,2))/30.4*G122,2)&lt;0,ROUND(-(((I122/G122*30.4)-VLOOKUP((I122/G122*30.4),TARIFA,1))*VLOOKUP((I122/G122*30.4),TARIFA,3)+VLOOKUP((I122/G122*30.4),TARIFA,2)-VLOOKUP((I122/G122*30.4),SUBSIDIO,2))/30.4*G122,2),0),0)</f>
        <v>0</v>
      </c>
      <c r="K122" s="223">
        <f t="shared" ref="K122:K126" si="52">IF(H122&lt;=207.44,0,(IFERROR(IF(ROUND((((I122/G122*30.4)-VLOOKUP((I122/G122*30.4),TARIFA,1))*VLOOKUP((I122/G122*30.4),TARIFA,3)+VLOOKUP((I122/G122*30.4),TARIFA,2)-VLOOKUP((I122/G122*30.4),SUBSIDIO,2))/30.4*G122,2)&gt;0,ROUND((((I122/G122*30.4)-VLOOKUP((I122/G122*30.4),TARIFA,1))*VLOOKUP((I122/G122*30.4),TARIFA,3)+VLOOKUP((I122/G122*30.4),TARIFA,2)-VLOOKUP((I122/G122*30.4),SUBSIDIO,2))/30.4*G122,2),0),0)))</f>
        <v>0</v>
      </c>
      <c r="L122" s="223">
        <f t="shared" ref="L122:L126" si="53">K122</f>
        <v>0</v>
      </c>
      <c r="M122" s="169">
        <f t="shared" ref="M122:M126" si="54">I122+J122-L122</f>
        <v>2687</v>
      </c>
      <c r="N122" s="173"/>
      <c r="O122" s="52"/>
    </row>
    <row r="123" spans="1:15" s="91" customFormat="1" ht="30" customHeight="1" x14ac:dyDescent="0.2">
      <c r="A123" s="29"/>
      <c r="B123" s="282">
        <v>92</v>
      </c>
      <c r="C123" s="296" t="s">
        <v>448</v>
      </c>
      <c r="D123" s="283" t="s">
        <v>291</v>
      </c>
      <c r="E123" s="283" t="s">
        <v>57</v>
      </c>
      <c r="F123" s="81"/>
      <c r="G123" s="284">
        <v>15</v>
      </c>
      <c r="H123" s="299">
        <v>133.333</v>
      </c>
      <c r="I123" s="169">
        <f t="shared" si="50"/>
        <v>2000</v>
      </c>
      <c r="J123" s="169">
        <f t="shared" si="51"/>
        <v>77.209999999999994</v>
      </c>
      <c r="K123" s="223">
        <f t="shared" si="52"/>
        <v>0</v>
      </c>
      <c r="L123" s="223">
        <f t="shared" si="53"/>
        <v>0</v>
      </c>
      <c r="M123" s="169">
        <f t="shared" si="54"/>
        <v>2077.21</v>
      </c>
      <c r="N123" s="173"/>
      <c r="O123" s="52"/>
    </row>
    <row r="124" spans="1:15" ht="30" customHeight="1" x14ac:dyDescent="0.2">
      <c r="B124" s="282">
        <v>93</v>
      </c>
      <c r="C124" s="296"/>
      <c r="D124" s="283" t="s">
        <v>292</v>
      </c>
      <c r="E124" s="283" t="s">
        <v>132</v>
      </c>
      <c r="F124" s="67"/>
      <c r="G124" s="284">
        <v>15</v>
      </c>
      <c r="H124" s="299">
        <v>251.73330000000001</v>
      </c>
      <c r="I124" s="169">
        <f t="shared" si="50"/>
        <v>3776</v>
      </c>
      <c r="J124" s="223">
        <f t="shared" si="51"/>
        <v>0</v>
      </c>
      <c r="K124" s="169">
        <f t="shared" si="52"/>
        <v>254.37</v>
      </c>
      <c r="L124" s="169">
        <f t="shared" si="53"/>
        <v>254.37</v>
      </c>
      <c r="M124" s="169">
        <f t="shared" si="54"/>
        <v>3521.63</v>
      </c>
      <c r="N124" s="173"/>
      <c r="O124" s="52"/>
    </row>
    <row r="125" spans="1:15" s="91" customFormat="1" ht="30" customHeight="1" x14ac:dyDescent="0.2">
      <c r="A125" s="29"/>
      <c r="B125" s="282">
        <v>94</v>
      </c>
      <c r="C125" s="296" t="s">
        <v>448</v>
      </c>
      <c r="D125" s="283" t="s">
        <v>293</v>
      </c>
      <c r="E125" s="283" t="s">
        <v>71</v>
      </c>
      <c r="F125" s="81"/>
      <c r="G125" s="284">
        <v>15</v>
      </c>
      <c r="H125" s="299">
        <v>120.712</v>
      </c>
      <c r="I125" s="169">
        <f t="shared" si="50"/>
        <v>1810.68</v>
      </c>
      <c r="J125" s="169">
        <f t="shared" si="51"/>
        <v>89.32</v>
      </c>
      <c r="K125" s="223">
        <f t="shared" si="52"/>
        <v>0</v>
      </c>
      <c r="L125" s="223">
        <f t="shared" si="53"/>
        <v>0</v>
      </c>
      <c r="M125" s="169">
        <f t="shared" si="54"/>
        <v>1900</v>
      </c>
      <c r="N125" s="173"/>
      <c r="O125" s="52"/>
    </row>
    <row r="126" spans="1:15" s="91" customFormat="1" ht="30" customHeight="1" x14ac:dyDescent="0.2">
      <c r="A126" s="29"/>
      <c r="B126" s="282">
        <v>95</v>
      </c>
      <c r="C126" s="296" t="s">
        <v>448</v>
      </c>
      <c r="D126" s="283" t="s">
        <v>458</v>
      </c>
      <c r="E126" s="283" t="s">
        <v>454</v>
      </c>
      <c r="F126" s="81"/>
      <c r="G126" s="284">
        <v>15</v>
      </c>
      <c r="H126" s="299">
        <v>98.495000000000005</v>
      </c>
      <c r="I126" s="169">
        <f t="shared" si="50"/>
        <v>1477.43</v>
      </c>
      <c r="J126" s="169">
        <f t="shared" si="51"/>
        <v>122.57</v>
      </c>
      <c r="K126" s="223">
        <f t="shared" si="52"/>
        <v>0</v>
      </c>
      <c r="L126" s="223">
        <f t="shared" si="53"/>
        <v>0</v>
      </c>
      <c r="M126" s="169">
        <f t="shared" si="54"/>
        <v>1600</v>
      </c>
      <c r="N126" s="173"/>
      <c r="O126" s="52"/>
    </row>
    <row r="127" spans="1:15" ht="30" customHeight="1" x14ac:dyDescent="0.2">
      <c r="B127" s="282"/>
      <c r="C127" s="296"/>
      <c r="D127" s="283"/>
      <c r="E127" s="298" t="s">
        <v>34</v>
      </c>
      <c r="F127" s="416"/>
      <c r="G127" s="417"/>
      <c r="H127" s="418"/>
      <c r="I127" s="170">
        <f>SUM(I122:I126)</f>
        <v>11751.11</v>
      </c>
      <c r="J127" s="170">
        <f>SUM(J122:J126)</f>
        <v>289.09999999999997</v>
      </c>
      <c r="K127" s="170">
        <f>SUM(K122:K126)</f>
        <v>254.37</v>
      </c>
      <c r="L127" s="170">
        <f>SUM(L122:L126)</f>
        <v>254.37</v>
      </c>
      <c r="M127" s="170">
        <f>SUM(M122:M126)</f>
        <v>11785.84</v>
      </c>
      <c r="N127" s="174">
        <f>SUM(N122:N125)</f>
        <v>0</v>
      </c>
      <c r="O127" s="52"/>
    </row>
    <row r="128" spans="1:15" ht="30" customHeight="1" x14ac:dyDescent="0.2">
      <c r="B128" s="419" t="s">
        <v>58</v>
      </c>
      <c r="C128" s="420"/>
      <c r="D128" s="421"/>
      <c r="E128" s="421"/>
      <c r="F128" s="421"/>
      <c r="G128" s="421"/>
      <c r="H128" s="421"/>
      <c r="I128" s="421"/>
      <c r="J128" s="421"/>
      <c r="K128" s="421"/>
      <c r="L128" s="421"/>
      <c r="M128" s="421"/>
      <c r="N128" s="422"/>
      <c r="O128" s="52"/>
    </row>
    <row r="129" spans="1:15" s="4" customFormat="1" ht="30" customHeight="1" x14ac:dyDescent="0.2">
      <c r="B129" s="306">
        <v>96</v>
      </c>
      <c r="C129" s="307"/>
      <c r="D129" s="283" t="s">
        <v>294</v>
      </c>
      <c r="E129" s="304" t="s">
        <v>69</v>
      </c>
      <c r="F129" s="67"/>
      <c r="G129" s="67">
        <v>15</v>
      </c>
      <c r="H129" s="308">
        <v>196</v>
      </c>
      <c r="I129" s="169">
        <f>G129*H129</f>
        <v>2940</v>
      </c>
      <c r="J129" s="223">
        <f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0</v>
      </c>
      <c r="K129" s="223">
        <f>IF(H129&lt;=207.44,0,(IFERROR(IF(ROUND((((I129/G129*30.4)-VLOOKUP((I129/G129*30.4),TARIFA,1))*VLOOKUP((I129/G129*30.4),TARIFA,3)+VLOOKUP((I129/G129*30.4),TARIFA,2)-VLOOKUP((I129/G129*30.4),SUBSIDIO,2))/30.4*G129,2)&gt;0,ROUND((((I129/G129*30.4)-VLOOKUP((I129/G129*30.4),TARIFA,1))*VLOOKUP((I129/G129*30.4),TARIFA,3)+VLOOKUP((I129/G129*30.4),TARIFA,2)-VLOOKUP((I129/G129*30.4),SUBSIDIO,2))/30.4*G129,2),0),0)))</f>
        <v>0</v>
      </c>
      <c r="L129" s="223">
        <f>K129</f>
        <v>0</v>
      </c>
      <c r="M129" s="169">
        <f>I129+J129-L129</f>
        <v>2940</v>
      </c>
      <c r="N129" s="173"/>
      <c r="O129" s="52"/>
    </row>
    <row r="130" spans="1:15" s="4" customFormat="1" ht="30" customHeight="1" x14ac:dyDescent="0.2">
      <c r="B130" s="306">
        <v>97</v>
      </c>
      <c r="C130" s="307"/>
      <c r="D130" s="283" t="s">
        <v>295</v>
      </c>
      <c r="E130" s="304" t="s">
        <v>43</v>
      </c>
      <c r="F130" s="67"/>
      <c r="G130" s="67">
        <v>15</v>
      </c>
      <c r="H130" s="308">
        <v>44.2</v>
      </c>
      <c r="I130" s="169">
        <f>ROUND(G130*H130,2)</f>
        <v>663</v>
      </c>
      <c r="J130" s="169">
        <f>IFERROR(IF(ROUND((((I130/G130*30.4)-VLOOKUP((I130/G130*30.4),TARIFA,1))*VLOOKUP((I130/G130*30.4),TARIFA,3)+VLOOKUP((I130/G130*30.4),TARIFA,2)-VLOOKUP((I130/G130*30.4),SUBSIDIO,2))/30.4*G130,2)&lt;0,ROUND(-(((I130/G130*30.4)-VLOOKUP((I130/G130*30.4),TARIFA,1))*VLOOKUP((I130/G130*30.4),TARIFA,3)+VLOOKUP((I130/G130*30.4),TARIFA,2)-VLOOKUP((I130/G130*30.4),SUBSIDIO,2))/30.4*G130,2),0),0)</f>
        <v>174.89</v>
      </c>
      <c r="K130" s="223">
        <f>IF(H130&lt;=207.44,0,(IFERROR(IF(ROUND((((I130/G130*30.4)-VLOOKUP((I130/G130*30.4),TARIFA,1))*VLOOKUP((I130/G130*30.4),TARIFA,3)+VLOOKUP((I130/G130*30.4),TARIFA,2)-VLOOKUP((I130/G130*30.4),SUBSIDIO,2))/30.4*G130,2)&gt;0,ROUND((((I130/G130*30.4)-VLOOKUP((I130/G130*30.4),TARIFA,1))*VLOOKUP((I130/G130*30.4),TARIFA,3)+VLOOKUP((I130/G130*30.4),TARIFA,2)-VLOOKUP((I130/G130*30.4),SUBSIDIO,2))/30.4*G130,2),0),0)))</f>
        <v>0</v>
      </c>
      <c r="L130" s="223">
        <f>K130</f>
        <v>0</v>
      </c>
      <c r="M130" s="169">
        <f>I130+J130-L130</f>
        <v>837.89</v>
      </c>
      <c r="N130" s="173"/>
      <c r="O130" s="52"/>
    </row>
    <row r="131" spans="1:15" s="89" customFormat="1" ht="30" customHeight="1" x14ac:dyDescent="0.2">
      <c r="A131" s="5"/>
      <c r="B131" s="282">
        <v>98</v>
      </c>
      <c r="C131" s="296" t="s">
        <v>448</v>
      </c>
      <c r="D131" s="304" t="s">
        <v>296</v>
      </c>
      <c r="E131" s="283" t="s">
        <v>101</v>
      </c>
      <c r="F131" s="81"/>
      <c r="G131" s="284">
        <v>15</v>
      </c>
      <c r="H131" s="276">
        <v>266.66660000000002</v>
      </c>
      <c r="I131" s="169">
        <f>ROUND(G131*H131,2)</f>
        <v>4000</v>
      </c>
      <c r="J131" s="223">
        <f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0</v>
      </c>
      <c r="K131" s="169">
        <f>IF(H131&lt;=207.44,0,(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))</f>
        <v>278.74</v>
      </c>
      <c r="L131" s="169">
        <f>K131</f>
        <v>278.74</v>
      </c>
      <c r="M131" s="169">
        <f>I131+J131-L131</f>
        <v>3721.26</v>
      </c>
      <c r="N131" s="173"/>
      <c r="O131" s="52"/>
    </row>
    <row r="132" spans="1:15" s="89" customFormat="1" ht="30" customHeight="1" x14ac:dyDescent="0.2">
      <c r="A132" s="5"/>
      <c r="B132" s="282">
        <v>99</v>
      </c>
      <c r="C132" s="296" t="s">
        <v>448</v>
      </c>
      <c r="D132" s="304" t="s">
        <v>197</v>
      </c>
      <c r="E132" s="283" t="s">
        <v>55</v>
      </c>
      <c r="F132" s="82"/>
      <c r="G132" s="284">
        <v>15</v>
      </c>
      <c r="H132" s="305">
        <v>91.6</v>
      </c>
      <c r="I132" s="169">
        <f>ROUND(G132*H132,2)</f>
        <v>1374</v>
      </c>
      <c r="J132" s="169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129.19</v>
      </c>
      <c r="K132" s="223">
        <f>IF(H132&lt;=207.44,0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223">
        <f>K132</f>
        <v>0</v>
      </c>
      <c r="M132" s="169">
        <f>I132+J132-L132</f>
        <v>1503.19</v>
      </c>
      <c r="N132" s="173"/>
      <c r="O132" s="52"/>
    </row>
    <row r="133" spans="1:15" ht="30" customHeight="1" x14ac:dyDescent="0.2">
      <c r="B133" s="282"/>
      <c r="C133" s="296"/>
      <c r="D133" s="283"/>
      <c r="E133" s="298" t="s">
        <v>34</v>
      </c>
      <c r="F133" s="416"/>
      <c r="G133" s="417"/>
      <c r="H133" s="418"/>
      <c r="I133" s="170">
        <f>SUM(I129:I132)</f>
        <v>8977</v>
      </c>
      <c r="J133" s="170">
        <f t="shared" ref="J133:N133" si="55">SUM(J129:J132)</f>
        <v>304.08</v>
      </c>
      <c r="K133" s="170">
        <f t="shared" si="55"/>
        <v>278.74</v>
      </c>
      <c r="L133" s="170">
        <f t="shared" si="55"/>
        <v>278.74</v>
      </c>
      <c r="M133" s="170">
        <f>SUM(M129:M132)</f>
        <v>9002.34</v>
      </c>
      <c r="N133" s="174">
        <f t="shared" si="55"/>
        <v>0</v>
      </c>
      <c r="O133" s="52"/>
    </row>
    <row r="134" spans="1:15" ht="30" customHeight="1" x14ac:dyDescent="0.2">
      <c r="B134" s="419" t="s">
        <v>76</v>
      </c>
      <c r="C134" s="420"/>
      <c r="D134" s="421"/>
      <c r="E134" s="421"/>
      <c r="F134" s="421"/>
      <c r="G134" s="421"/>
      <c r="H134" s="421"/>
      <c r="I134" s="421"/>
      <c r="J134" s="421"/>
      <c r="K134" s="421"/>
      <c r="L134" s="421"/>
      <c r="M134" s="421"/>
      <c r="N134" s="422"/>
      <c r="O134" s="52"/>
    </row>
    <row r="135" spans="1:15" ht="30" customHeight="1" x14ac:dyDescent="0.2">
      <c r="B135" s="282">
        <v>100</v>
      </c>
      <c r="C135" s="296"/>
      <c r="D135" s="283" t="s">
        <v>297</v>
      </c>
      <c r="E135" s="283" t="s">
        <v>61</v>
      </c>
      <c r="F135" s="81"/>
      <c r="G135" s="284">
        <v>15</v>
      </c>
      <c r="H135" s="276">
        <v>260</v>
      </c>
      <c r="I135" s="169">
        <f>ROUND(G135*H135,2)</f>
        <v>3900</v>
      </c>
      <c r="J135" s="223">
        <f>IFERROR(IF(ROUND((((I135/G135*30.4)-VLOOKUP((I135/G135*30.4),TARIFA,1))*VLOOKUP((I135/G135*30.4),TARIFA,3)+VLOOKUP((I135/G135*30.4),TARIFA,2)-VLOOKUP((I135/G135*30.4),SUBSIDIO,2))/30.4*G135,2)&lt;0,ROUND(-(((I135/G135*30.4)-VLOOKUP((I135/G135*30.4),TARIFA,1))*VLOOKUP((I135/G135*30.4),TARIFA,3)+VLOOKUP((I135/G135*30.4),TARIFA,2)-VLOOKUP((I135/G135*30.4),SUBSIDIO,2))/30.4*G135,2),0),0)</f>
        <v>0</v>
      </c>
      <c r="K135" s="169">
        <f>IF(H135&lt;=207.44,0,(IFERROR(IF(ROUND((((I135/G135*30.4)-VLOOKUP((I135/G135*30.4),TARIFA,1))*VLOOKUP((I135/G135*30.4),TARIFA,3)+VLOOKUP((I135/G135*30.4),TARIFA,2)-VLOOKUP((I135/G135*30.4),SUBSIDIO,2))/30.4*G135,2)&gt;0,ROUND((((I135/G135*30.4)-VLOOKUP((I135/G135*30.4),TARIFA,1))*VLOOKUP((I135/G135*30.4),TARIFA,3)+VLOOKUP((I135/G135*30.4),TARIFA,2)-VLOOKUP((I135/G135*30.4),SUBSIDIO,2))/30.4*G135,2),0),0)))</f>
        <v>267.86</v>
      </c>
      <c r="L135" s="169">
        <f>K135</f>
        <v>267.86</v>
      </c>
      <c r="M135" s="169">
        <f>I135+J135-L135</f>
        <v>3632.14</v>
      </c>
      <c r="N135" s="173"/>
      <c r="O135" s="52"/>
    </row>
    <row r="136" spans="1:15" ht="30" customHeight="1" x14ac:dyDescent="0.2">
      <c r="B136" s="282">
        <v>101</v>
      </c>
      <c r="C136" s="296"/>
      <c r="D136" s="283"/>
      <c r="E136" s="298" t="s">
        <v>34</v>
      </c>
      <c r="F136" s="309"/>
      <c r="G136" s="416"/>
      <c r="H136" s="418"/>
      <c r="I136" s="170">
        <f t="shared" ref="I136:N136" si="56">SUM(I135:I135)</f>
        <v>3900</v>
      </c>
      <c r="J136" s="224">
        <f t="shared" si="56"/>
        <v>0</v>
      </c>
      <c r="K136" s="170">
        <f t="shared" si="56"/>
        <v>267.86</v>
      </c>
      <c r="L136" s="170">
        <f t="shared" si="56"/>
        <v>267.86</v>
      </c>
      <c r="M136" s="170">
        <f t="shared" si="56"/>
        <v>3632.14</v>
      </c>
      <c r="N136" s="174">
        <f t="shared" si="56"/>
        <v>0</v>
      </c>
      <c r="O136" s="52"/>
    </row>
    <row r="137" spans="1:15" ht="30" customHeight="1" x14ac:dyDescent="0.2">
      <c r="B137" s="426" t="s">
        <v>113</v>
      </c>
      <c r="C137" s="427"/>
      <c r="D137" s="428"/>
      <c r="E137" s="428"/>
      <c r="F137" s="428"/>
      <c r="G137" s="428"/>
      <c r="H137" s="428"/>
      <c r="I137" s="428"/>
      <c r="J137" s="428"/>
      <c r="K137" s="428"/>
      <c r="L137" s="428"/>
      <c r="M137" s="428"/>
      <c r="N137" s="429"/>
      <c r="O137" s="52"/>
    </row>
    <row r="138" spans="1:15" s="5" customFormat="1" ht="30" customHeight="1" x14ac:dyDescent="0.2">
      <c r="B138" s="282">
        <v>102</v>
      </c>
      <c r="C138" s="296"/>
      <c r="D138" s="283" t="s">
        <v>298</v>
      </c>
      <c r="E138" s="283" t="s">
        <v>43</v>
      </c>
      <c r="F138" s="81"/>
      <c r="G138" s="284">
        <v>15</v>
      </c>
      <c r="H138" s="299">
        <v>266.66660000000002</v>
      </c>
      <c r="I138" s="169">
        <f>ROUND(G138*H138,2)</f>
        <v>4000</v>
      </c>
      <c r="J138" s="223">
        <f>IFERROR(IF(ROUND((((I138/G138*30.4)-VLOOKUP((I138/G138*30.4),TARIFA,1))*VLOOKUP((I138/G138*30.4),TARIFA,3)+VLOOKUP((I138/G138*30.4),TARIFA,2)-VLOOKUP((I138/G138*30.4),SUBSIDIO,2))/30.4*G138,2)&lt;0,ROUND(-(((I138/G138*30.4)-VLOOKUP((I138/G138*30.4),TARIFA,1))*VLOOKUP((I138/G138*30.4),TARIFA,3)+VLOOKUP((I138/G138*30.4),TARIFA,2)-VLOOKUP((I138/G138*30.4),SUBSIDIO,2))/30.4*G138,2),0),0)</f>
        <v>0</v>
      </c>
      <c r="K138" s="169">
        <f>IF(H138&lt;=207.44,0,(IFERROR(IF(ROUND((((I138/G138*30.4)-VLOOKUP((I138/G138*30.4),TARIFA,1))*VLOOKUP((I138/G138*30.4),TARIFA,3)+VLOOKUP((I138/G138*30.4),TARIFA,2)-VLOOKUP((I138/G138*30.4),SUBSIDIO,2))/30.4*G138,2)&gt;0,ROUND((((I138/G138*30.4)-VLOOKUP((I138/G138*30.4),TARIFA,1))*VLOOKUP((I138/G138*30.4),TARIFA,3)+VLOOKUP((I138/G138*30.4),TARIFA,2)-VLOOKUP((I138/G138*30.4),SUBSIDIO,2))/30.4*G138,2),0),0)))</f>
        <v>278.74</v>
      </c>
      <c r="L138" s="169">
        <f>K138</f>
        <v>278.74</v>
      </c>
      <c r="M138" s="169">
        <f>I138+J138-L138</f>
        <v>3721.26</v>
      </c>
      <c r="N138" s="173"/>
      <c r="O138" s="52"/>
    </row>
    <row r="139" spans="1:15" ht="30" customHeight="1" x14ac:dyDescent="0.2">
      <c r="B139" s="282"/>
      <c r="C139" s="296"/>
      <c r="D139" s="283"/>
      <c r="E139" s="298" t="s">
        <v>34</v>
      </c>
      <c r="F139" s="309"/>
      <c r="G139" s="416"/>
      <c r="H139" s="418"/>
      <c r="I139" s="170">
        <f t="shared" ref="I139:N139" si="57">SUM(I138:I138)</f>
        <v>4000</v>
      </c>
      <c r="J139" s="224">
        <f t="shared" si="57"/>
        <v>0</v>
      </c>
      <c r="K139" s="170">
        <f t="shared" si="57"/>
        <v>278.74</v>
      </c>
      <c r="L139" s="170">
        <f t="shared" si="57"/>
        <v>278.74</v>
      </c>
      <c r="M139" s="170">
        <f t="shared" si="57"/>
        <v>3721.26</v>
      </c>
      <c r="N139" s="174">
        <f t="shared" si="57"/>
        <v>0</v>
      </c>
      <c r="O139" s="52"/>
    </row>
    <row r="140" spans="1:15" ht="30" customHeight="1" x14ac:dyDescent="0.2">
      <c r="B140" s="312"/>
      <c r="C140" s="310"/>
      <c r="D140" s="313"/>
      <c r="E140" s="314"/>
      <c r="F140" s="310"/>
      <c r="G140" s="310"/>
      <c r="H140" s="310"/>
      <c r="I140" s="310"/>
      <c r="J140" s="310"/>
      <c r="K140" s="310"/>
      <c r="L140" s="310"/>
      <c r="M140" s="310"/>
      <c r="N140" s="311"/>
      <c r="O140" s="52"/>
    </row>
    <row r="141" spans="1:15" s="43" customFormat="1" ht="30" customHeight="1" x14ac:dyDescent="0.2">
      <c r="B141" s="425" t="s">
        <v>144</v>
      </c>
      <c r="C141" s="417"/>
      <c r="D141" s="417"/>
      <c r="E141" s="417"/>
      <c r="F141" s="417"/>
      <c r="G141" s="417"/>
      <c r="H141" s="418"/>
      <c r="I141" s="315">
        <f>I16+I19+I25+I33+I40+I56+I62+I74+I78+I86+I103+I120+I127+I133+I136+I139</f>
        <v>258517.342</v>
      </c>
      <c r="J141" s="315">
        <f>J16+J19+J25+J33+J40+J56+J62+J74+J78+J86+J103+J120+J127+J133+J136+J139</f>
        <v>6422.7900000000009</v>
      </c>
      <c r="K141" s="315">
        <f>K16+K19+K25+K33+K40+K56+K62+K74+K78+K86+K103+K120+K127+K133+K136+K139</f>
        <v>8664.5399999999991</v>
      </c>
      <c r="L141" s="315">
        <f>L16+L19+L25+L33+L40+L56+L62+L74+L78+L86+L103+L120+L127+L133+L136+L139</f>
        <v>8664.5399999999991</v>
      </c>
      <c r="M141" s="315">
        <f>M16+M19+M25+M33+M40+M56+M62+M74+M78+M86+M103+M120+M127+M133+M136+M139</f>
        <v>256275.59200000003</v>
      </c>
      <c r="N141" s="315"/>
      <c r="O141" s="60"/>
    </row>
    <row r="142" spans="1:15" s="97" customFormat="1" ht="30" customHeight="1" x14ac:dyDescent="0.2">
      <c r="B142" s="316"/>
      <c r="C142" s="4"/>
      <c r="D142" s="317"/>
      <c r="E142" s="318"/>
      <c r="F142" s="319"/>
      <c r="G142" s="319"/>
      <c r="H142" s="319"/>
      <c r="I142" s="104"/>
      <c r="J142" s="104"/>
      <c r="K142" s="104"/>
      <c r="L142" s="104"/>
      <c r="M142" s="104"/>
      <c r="N142" s="176"/>
      <c r="O142" s="60"/>
    </row>
    <row r="143" spans="1:15" ht="30" customHeight="1" x14ac:dyDescent="0.2">
      <c r="B143" s="316"/>
      <c r="D143" s="317"/>
      <c r="E143" s="318"/>
      <c r="F143" s="319"/>
      <c r="G143" s="319"/>
      <c r="H143" s="319"/>
      <c r="I143" s="104"/>
      <c r="J143" s="104"/>
      <c r="K143" s="104"/>
      <c r="L143" s="104"/>
      <c r="M143" s="104"/>
      <c r="N143" s="176"/>
      <c r="O143" s="52"/>
    </row>
    <row r="144" spans="1:15" ht="31.5" customHeight="1" x14ac:dyDescent="0.2">
      <c r="B144" s="316"/>
      <c r="D144" s="317"/>
      <c r="E144" s="318"/>
      <c r="F144" s="319"/>
      <c r="G144" s="319"/>
      <c r="H144" s="319"/>
      <c r="I144" s="104"/>
      <c r="J144" s="104"/>
      <c r="K144" s="104"/>
      <c r="L144" s="104"/>
      <c r="M144" s="104"/>
      <c r="N144" s="176"/>
      <c r="O144" s="52"/>
    </row>
    <row r="145" spans="2:15" ht="31.5" customHeight="1" x14ac:dyDescent="0.2">
      <c r="B145" s="316"/>
      <c r="D145" s="317"/>
      <c r="E145" s="318"/>
      <c r="F145" s="319"/>
      <c r="G145" s="319"/>
      <c r="H145" s="319"/>
      <c r="I145" s="104"/>
      <c r="J145" s="104"/>
      <c r="K145" s="104"/>
      <c r="L145" s="104"/>
      <c r="M145" s="104"/>
      <c r="N145" s="176"/>
      <c r="O145" s="53"/>
    </row>
    <row r="146" spans="2:15" ht="21.75" customHeight="1" x14ac:dyDescent="0.2">
      <c r="B146" s="320"/>
      <c r="C146" s="65"/>
      <c r="N146" s="177"/>
      <c r="O146" s="52"/>
    </row>
    <row r="147" spans="2:15" ht="21.75" customHeight="1" x14ac:dyDescent="0.2">
      <c r="B147" s="321" t="s">
        <v>379</v>
      </c>
      <c r="C147" s="322"/>
      <c r="D147" s="322"/>
      <c r="E147" s="322"/>
      <c r="K147" s="322" t="s">
        <v>372</v>
      </c>
      <c r="L147" s="322"/>
      <c r="N147" s="177"/>
      <c r="O147" s="52"/>
    </row>
    <row r="148" spans="2:15" ht="21.75" customHeight="1" x14ac:dyDescent="0.2">
      <c r="B148" s="323"/>
      <c r="C148" s="171"/>
      <c r="D148" s="424" t="s">
        <v>371</v>
      </c>
      <c r="E148" s="424"/>
      <c r="F148" s="424"/>
      <c r="K148" s="424" t="s">
        <v>371</v>
      </c>
      <c r="L148" s="424"/>
      <c r="M148" s="424"/>
      <c r="N148" s="177"/>
      <c r="O148" s="52"/>
    </row>
    <row r="149" spans="2:15" ht="21.75" customHeight="1" thickBot="1" x14ac:dyDescent="0.25">
      <c r="B149" s="324"/>
      <c r="C149" s="325"/>
      <c r="D149" s="326"/>
      <c r="E149" s="327"/>
      <c r="F149" s="178"/>
      <c r="G149" s="178"/>
      <c r="H149" s="178"/>
      <c r="I149" s="178"/>
      <c r="J149" s="178"/>
      <c r="K149" s="178"/>
      <c r="L149" s="178"/>
      <c r="M149" s="178"/>
      <c r="N149" s="328"/>
      <c r="O149" s="52"/>
    </row>
    <row r="150" spans="2:15" ht="21.75" customHeight="1" x14ac:dyDescent="0.2">
      <c r="B150" s="107"/>
      <c r="C150" s="107"/>
      <c r="O150" s="32"/>
    </row>
    <row r="151" spans="2:15" ht="18" customHeight="1" x14ac:dyDescent="0.2">
      <c r="B151" s="171"/>
      <c r="C151" s="171"/>
    </row>
    <row r="152" spans="2:15" x14ac:dyDescent="0.2">
      <c r="B152" s="171"/>
      <c r="C152" s="171"/>
      <c r="K152" s="25" t="s">
        <v>97</v>
      </c>
      <c r="L152" s="216">
        <f>M8+M11+M12+M13+M14+M24+M29+M31+M36+M39+M42+M43+M45+M46+M47+M48+M50+M52+M53+M54+M55+M58+M59+M60+M61+M64+M65+M66+M67+M70+M71+M72+M73+M77+M81+M82+M83+M85+M90+M96+M98+M101+M102+M106+M110+M111+M112+M114+M116+M117+M119+M122+M123+M125+M126+M131+M132+M10+M9</f>
        <v>148089.14200000002</v>
      </c>
    </row>
    <row r="153" spans="2:15" x14ac:dyDescent="0.2">
      <c r="B153" s="171"/>
      <c r="C153" s="171"/>
      <c r="K153" s="25" t="s">
        <v>98</v>
      </c>
      <c r="L153" s="216">
        <f>M15+M18+M21+M22+M23+M27+M28+M30+M32+M35+M37+M38+M44+M49+M51+M68+M69+M76+M80+M84+M88+M89+M91+M92+M93+M94+M95+M97+M99+M100+M105+M107+M108+M109+M113+M115+M118+M124+M129+M130+M135+M138</f>
        <v>108186.44999999998</v>
      </c>
    </row>
    <row r="154" spans="2:15" x14ac:dyDescent="0.2">
      <c r="B154" s="171"/>
      <c r="C154" s="171"/>
      <c r="L154" s="216">
        <f>SUM(L152:L153)</f>
        <v>256275.592</v>
      </c>
    </row>
    <row r="155" spans="2:15" x14ac:dyDescent="0.2">
      <c r="B155" s="171"/>
      <c r="C155" s="171"/>
    </row>
    <row r="156" spans="2:15" x14ac:dyDescent="0.2">
      <c r="B156" s="171"/>
      <c r="C156" s="171"/>
      <c r="K156" s="25" t="s">
        <v>384</v>
      </c>
      <c r="L156" s="217">
        <f>L154-M141</f>
        <v>0</v>
      </c>
    </row>
    <row r="157" spans="2:15" x14ac:dyDescent="0.2">
      <c r="B157" s="171"/>
      <c r="C157" s="171"/>
    </row>
  </sheetData>
  <mergeCells count="38">
    <mergeCell ref="B87:N87"/>
    <mergeCell ref="B137:N137"/>
    <mergeCell ref="B134:N134"/>
    <mergeCell ref="G136:H136"/>
    <mergeCell ref="B104:N104"/>
    <mergeCell ref="F103:H103"/>
    <mergeCell ref="F120:H120"/>
    <mergeCell ref="F127:H127"/>
    <mergeCell ref="F133:H133"/>
    <mergeCell ref="B121:N121"/>
    <mergeCell ref="B128:N128"/>
    <mergeCell ref="D148:F148"/>
    <mergeCell ref="K148:M148"/>
    <mergeCell ref="F19:H19"/>
    <mergeCell ref="B141:H141"/>
    <mergeCell ref="B57:N57"/>
    <mergeCell ref="F56:H56"/>
    <mergeCell ref="F25:H25"/>
    <mergeCell ref="F33:H33"/>
    <mergeCell ref="G139:H139"/>
    <mergeCell ref="F62:H62"/>
    <mergeCell ref="F74:H74"/>
    <mergeCell ref="F78:H78"/>
    <mergeCell ref="B26:N26"/>
    <mergeCell ref="F40:H40"/>
    <mergeCell ref="B34:N34"/>
    <mergeCell ref="B75:N75"/>
    <mergeCell ref="F86:H86"/>
    <mergeCell ref="B63:N63"/>
    <mergeCell ref="E2:K2"/>
    <mergeCell ref="E5:K5"/>
    <mergeCell ref="L5:N5"/>
    <mergeCell ref="D6:J6"/>
    <mergeCell ref="F16:H16"/>
    <mergeCell ref="B17:N17"/>
    <mergeCell ref="B20:N20"/>
    <mergeCell ref="B79:N79"/>
    <mergeCell ref="B41:N41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5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263" customWidth="1"/>
    <col min="37" max="37" width="56.42578125" style="5" customWidth="1"/>
    <col min="38" max="38" width="12.28515625" style="252" bestFit="1" customWidth="1"/>
    <col min="39" max="39" width="15.140625" style="250" customWidth="1"/>
    <col min="40" max="16384" width="11.42578125" style="5"/>
  </cols>
  <sheetData>
    <row r="3" spans="1:41" x14ac:dyDescent="0.2">
      <c r="B3" s="42"/>
      <c r="C3" s="42"/>
      <c r="D3" s="7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248"/>
      <c r="AK3" s="42"/>
      <c r="AL3" s="249"/>
    </row>
    <row r="4" spans="1:41" x14ac:dyDescent="0.2">
      <c r="B4" s="42"/>
      <c r="C4" s="42"/>
      <c r="D4" s="7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248"/>
      <c r="AK4" s="42"/>
      <c r="AL4" s="249"/>
    </row>
    <row r="5" spans="1:41" x14ac:dyDescent="0.2">
      <c r="B5" s="42"/>
      <c r="C5" s="42"/>
      <c r="D5" s="7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248"/>
      <c r="AK5" s="42"/>
      <c r="AL5" s="249"/>
    </row>
    <row r="6" spans="1:41" x14ac:dyDescent="0.2">
      <c r="B6" s="42"/>
      <c r="C6" s="42"/>
      <c r="D6" s="7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248"/>
      <c r="AK6" s="42"/>
      <c r="AL6" s="249"/>
    </row>
    <row r="7" spans="1:41" x14ac:dyDescent="0.2">
      <c r="B7" s="42"/>
      <c r="C7" s="42"/>
      <c r="D7" s="7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248"/>
      <c r="AK7" s="42"/>
      <c r="AL7" s="249"/>
    </row>
    <row r="8" spans="1:41" x14ac:dyDescent="0.2">
      <c r="B8" s="42"/>
      <c r="C8" s="42"/>
      <c r="D8" s="7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248"/>
      <c r="AK8" s="42"/>
      <c r="AL8" s="249"/>
    </row>
    <row r="9" spans="1:41" ht="30" customHeight="1" x14ac:dyDescent="0.2">
      <c r="B9" s="42"/>
      <c r="C9" s="42"/>
      <c r="D9" s="72"/>
      <c r="E9" s="42"/>
      <c r="F9" s="42"/>
      <c r="G9" s="65" t="s">
        <v>30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248"/>
      <c r="AK9" s="42"/>
      <c r="AL9" s="249"/>
      <c r="AN9" s="89"/>
      <c r="AO9" s="5" t="s">
        <v>403</v>
      </c>
    </row>
    <row r="10" spans="1:41" x14ac:dyDescent="0.2">
      <c r="B10" s="42"/>
      <c r="C10" s="42"/>
      <c r="D10" s="7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248"/>
      <c r="AK10" s="42"/>
      <c r="AL10" s="249"/>
      <c r="AN10" s="251"/>
      <c r="AO10" s="5" t="s">
        <v>404</v>
      </c>
    </row>
    <row r="11" spans="1:41" s="30" customFormat="1" ht="15" x14ac:dyDescent="0.2">
      <c r="A11" s="5"/>
      <c r="B11" s="436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2"/>
      <c r="AL11" s="249"/>
      <c r="AM11" s="252"/>
    </row>
    <row r="12" spans="1:41" s="30" customFormat="1" ht="15" x14ac:dyDescent="0.2">
      <c r="A12" s="5"/>
      <c r="B12" s="437" t="s">
        <v>487</v>
      </c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2"/>
      <c r="AL12" s="249"/>
      <c r="AM12" s="252"/>
    </row>
    <row r="13" spans="1:41" s="30" customFormat="1" ht="28.5" customHeight="1" x14ac:dyDescent="0.2">
      <c r="A13" s="5"/>
      <c r="B13" s="41"/>
      <c r="C13" s="41"/>
      <c r="D13" s="73"/>
      <c r="E13" s="41"/>
      <c r="F13" s="41"/>
      <c r="G13" s="40" t="s">
        <v>149</v>
      </c>
      <c r="H13" s="40" t="s">
        <v>1</v>
      </c>
      <c r="I13" s="403" t="s">
        <v>0</v>
      </c>
      <c r="J13" s="403"/>
      <c r="K13" s="403"/>
      <c r="L13" s="403"/>
      <c r="M13" s="403"/>
      <c r="N13" s="403"/>
      <c r="O13" s="403"/>
      <c r="P13" s="403"/>
      <c r="Q13" s="40"/>
      <c r="R13" s="40" t="s">
        <v>405</v>
      </c>
      <c r="S13" s="40"/>
      <c r="T13" s="438" t="s">
        <v>406</v>
      </c>
      <c r="U13" s="438"/>
      <c r="V13" s="438"/>
      <c r="W13" s="438"/>
      <c r="X13" s="438"/>
      <c r="Y13" s="438"/>
      <c r="Z13" s="40" t="s">
        <v>407</v>
      </c>
      <c r="AA13" s="40" t="s">
        <v>3</v>
      </c>
      <c r="AB13" s="40"/>
      <c r="AC13" s="439" t="s">
        <v>408</v>
      </c>
      <c r="AD13" s="438" t="s">
        <v>409</v>
      </c>
      <c r="AE13" s="438"/>
      <c r="AF13" s="438"/>
      <c r="AG13" s="438"/>
      <c r="AH13" s="438"/>
      <c r="AI13" s="438"/>
      <c r="AJ13" s="440" t="s">
        <v>402</v>
      </c>
      <c r="AK13" s="41"/>
      <c r="AL13" s="249"/>
      <c r="AM13" s="252"/>
    </row>
    <row r="14" spans="1:41" s="30" customFormat="1" x14ac:dyDescent="0.2">
      <c r="A14" s="5"/>
      <c r="B14" s="40" t="s">
        <v>150</v>
      </c>
      <c r="C14" s="40" t="s">
        <v>448</v>
      </c>
      <c r="D14" s="83" t="s">
        <v>14</v>
      </c>
      <c r="E14" s="40" t="s">
        <v>28</v>
      </c>
      <c r="F14" s="40" t="s">
        <v>105</v>
      </c>
      <c r="G14" s="46" t="s">
        <v>15</v>
      </c>
      <c r="H14" s="40" t="s">
        <v>16</v>
      </c>
      <c r="I14" s="439" t="s">
        <v>99</v>
      </c>
      <c r="J14" s="40" t="s">
        <v>410</v>
      </c>
      <c r="K14" s="40" t="s">
        <v>410</v>
      </c>
      <c r="L14" s="40" t="s">
        <v>411</v>
      </c>
      <c r="M14" s="40" t="s">
        <v>405</v>
      </c>
      <c r="N14" s="40" t="s">
        <v>412</v>
      </c>
      <c r="O14" s="439" t="s">
        <v>413</v>
      </c>
      <c r="P14" s="439" t="s">
        <v>152</v>
      </c>
      <c r="Q14" s="40"/>
      <c r="R14" s="40" t="s">
        <v>414</v>
      </c>
      <c r="S14" s="40" t="s">
        <v>415</v>
      </c>
      <c r="T14" s="40" t="s">
        <v>5</v>
      </c>
      <c r="U14" s="40" t="s">
        <v>416</v>
      </c>
      <c r="V14" s="40" t="s">
        <v>417</v>
      </c>
      <c r="W14" s="40" t="s">
        <v>418</v>
      </c>
      <c r="X14" s="40" t="s">
        <v>7</v>
      </c>
      <c r="Y14" s="40" t="s">
        <v>3</v>
      </c>
      <c r="Z14" s="40" t="s">
        <v>419</v>
      </c>
      <c r="AA14" s="40" t="s">
        <v>420</v>
      </c>
      <c r="AB14" s="40"/>
      <c r="AC14" s="439"/>
      <c r="AD14" s="40" t="s">
        <v>421</v>
      </c>
      <c r="AE14" s="40" t="s">
        <v>422</v>
      </c>
      <c r="AF14" s="40" t="s">
        <v>407</v>
      </c>
      <c r="AG14" s="40" t="s">
        <v>423</v>
      </c>
      <c r="AH14" s="221" t="s">
        <v>424</v>
      </c>
      <c r="AI14" s="439" t="s">
        <v>425</v>
      </c>
      <c r="AJ14" s="440"/>
      <c r="AK14" s="41"/>
      <c r="AL14" s="249"/>
      <c r="AM14" s="252"/>
    </row>
    <row r="15" spans="1:41" s="30" customFormat="1" ht="16.5" customHeight="1" x14ac:dyDescent="0.2">
      <c r="A15" s="5"/>
      <c r="B15" s="40"/>
      <c r="C15" s="40"/>
      <c r="D15" s="83"/>
      <c r="E15" s="40"/>
      <c r="F15" s="40"/>
      <c r="G15" s="40"/>
      <c r="H15" s="40"/>
      <c r="I15" s="439"/>
      <c r="J15" s="40" t="s">
        <v>426</v>
      </c>
      <c r="K15" s="40" t="s">
        <v>427</v>
      </c>
      <c r="L15" s="40"/>
      <c r="M15" s="40" t="s">
        <v>414</v>
      </c>
      <c r="N15" s="40" t="s">
        <v>428</v>
      </c>
      <c r="O15" s="439"/>
      <c r="P15" s="439"/>
      <c r="Q15" s="40"/>
      <c r="R15" s="40" t="s">
        <v>429</v>
      </c>
      <c r="S15" s="40" t="s">
        <v>430</v>
      </c>
      <c r="T15" s="40" t="s">
        <v>6</v>
      </c>
      <c r="U15" s="40" t="s">
        <v>431</v>
      </c>
      <c r="V15" s="40" t="s">
        <v>431</v>
      </c>
      <c r="W15" s="40" t="s">
        <v>432</v>
      </c>
      <c r="X15" s="40" t="s">
        <v>8</v>
      </c>
      <c r="Y15" s="40" t="s">
        <v>433</v>
      </c>
      <c r="Z15" s="40" t="s">
        <v>12</v>
      </c>
      <c r="AA15" s="40" t="s">
        <v>434</v>
      </c>
      <c r="AB15" s="40"/>
      <c r="AC15" s="439"/>
      <c r="AD15" s="40"/>
      <c r="AE15" s="40"/>
      <c r="AF15" s="40" t="s">
        <v>435</v>
      </c>
      <c r="AG15" s="40" t="s">
        <v>436</v>
      </c>
      <c r="AH15" s="40"/>
      <c r="AI15" s="439"/>
      <c r="AJ15" s="440"/>
      <c r="AK15" s="40" t="s">
        <v>399</v>
      </c>
      <c r="AL15" s="249"/>
      <c r="AM15" s="252"/>
    </row>
    <row r="16" spans="1:41" s="30" customFormat="1" ht="43.5" customHeight="1" x14ac:dyDescent="0.2">
      <c r="A16" s="5"/>
      <c r="B16" s="41">
        <v>1</v>
      </c>
      <c r="C16" s="41" t="s">
        <v>448</v>
      </c>
      <c r="D16" s="329" t="s">
        <v>32</v>
      </c>
      <c r="E16" s="330" t="s">
        <v>31</v>
      </c>
      <c r="F16" s="330"/>
      <c r="G16" s="330">
        <v>15</v>
      </c>
      <c r="H16" s="331">
        <v>98.14</v>
      </c>
      <c r="I16" s="246">
        <v>1531</v>
      </c>
      <c r="J16" s="332">
        <v>0</v>
      </c>
      <c r="K16" s="332">
        <f t="shared" ref="K16:K22" si="0">J16</f>
        <v>0</v>
      </c>
      <c r="L16" s="332">
        <v>0</v>
      </c>
      <c r="M16" s="332">
        <v>0</v>
      </c>
      <c r="N16" s="332">
        <v>0</v>
      </c>
      <c r="O16" s="332">
        <v>0</v>
      </c>
      <c r="P16" s="246">
        <f t="shared" ref="P16:P22" si="1">SUM(I16:O16)</f>
        <v>1531</v>
      </c>
      <c r="Q16" s="333"/>
      <c r="R16" s="246">
        <f t="shared" ref="R16:R22" si="2">IF(H16=47.16,0,IF(H16&gt;47.16,M16*0.5,0))</f>
        <v>0</v>
      </c>
      <c r="S16" s="246">
        <f t="shared" ref="S16:S22" si="3">I16+J16+K16+N16+R16+L16</f>
        <v>1531</v>
      </c>
      <c r="T16" s="246">
        <f t="shared" ref="T16:T22" si="4">VLOOKUP(S16,TARIFA1,1)</f>
        <v>318.01</v>
      </c>
      <c r="U16" s="246">
        <f t="shared" ref="U16:U22" si="5">S16-T16</f>
        <v>1212.99</v>
      </c>
      <c r="V16" s="334">
        <f t="shared" ref="V16:V22" si="6">VLOOKUP(S16,TARIFA1,3)</f>
        <v>6.4000000000000001E-2</v>
      </c>
      <c r="W16" s="246">
        <f t="shared" ref="W16:W22" si="7">U16*V16</f>
        <v>77.631360000000001</v>
      </c>
      <c r="X16" s="246">
        <f t="shared" ref="X16:X22" si="8">VLOOKUP(S16,TARIFA1,2)</f>
        <v>6.15</v>
      </c>
      <c r="Y16" s="246">
        <f t="shared" ref="Y16:Y22" si="9">W16+X16</f>
        <v>83.781360000000006</v>
      </c>
      <c r="Z16" s="246">
        <f t="shared" ref="Z16:Z22" si="10">VLOOKUP(S16,Credito1,2)</f>
        <v>200.7</v>
      </c>
      <c r="AA16" s="246">
        <f t="shared" ref="AA16:AA22" si="11">Y16-Z16</f>
        <v>-116.91863999999998</v>
      </c>
      <c r="AB16" s="335"/>
      <c r="AC16" s="246">
        <v>0</v>
      </c>
      <c r="AD16" s="246">
        <f t="shared" ref="AD16:AD22" si="12">IF(AA16&lt;0,0,AA16)</f>
        <v>0</v>
      </c>
      <c r="AE16" s="246">
        <v>0</v>
      </c>
      <c r="AF16" s="332">
        <v>0</v>
      </c>
      <c r="AG16" s="332">
        <v>0</v>
      </c>
      <c r="AH16" s="336">
        <v>0</v>
      </c>
      <c r="AI16" s="246">
        <f t="shared" ref="AI16:AI22" si="13">SUM(AD16:AH16)</f>
        <v>0</v>
      </c>
      <c r="AJ16" s="337">
        <f t="shared" ref="AJ16:AJ22" si="14">P16+AC16-AI16</f>
        <v>1531</v>
      </c>
      <c r="AK16" s="246"/>
      <c r="AL16" s="54"/>
      <c r="AM16" s="253"/>
      <c r="AN16" s="254"/>
    </row>
    <row r="17" spans="1:40" s="30" customFormat="1" ht="43.5" customHeight="1" x14ac:dyDescent="0.2">
      <c r="A17" s="5"/>
      <c r="B17" s="41">
        <v>2</v>
      </c>
      <c r="C17" s="41" t="s">
        <v>448</v>
      </c>
      <c r="D17" s="329" t="s">
        <v>317</v>
      </c>
      <c r="E17" s="330" t="s">
        <v>31</v>
      </c>
      <c r="F17" s="330"/>
      <c r="G17" s="330">
        <v>15</v>
      </c>
      <c r="H17" s="331">
        <v>98.14</v>
      </c>
      <c r="I17" s="246">
        <v>1531</v>
      </c>
      <c r="J17" s="332">
        <v>0</v>
      </c>
      <c r="K17" s="332">
        <f t="shared" si="0"/>
        <v>0</v>
      </c>
      <c r="L17" s="332">
        <v>0</v>
      </c>
      <c r="M17" s="332">
        <v>0</v>
      </c>
      <c r="N17" s="332">
        <v>0</v>
      </c>
      <c r="O17" s="332">
        <v>0</v>
      </c>
      <c r="P17" s="246">
        <f t="shared" si="1"/>
        <v>1531</v>
      </c>
      <c r="Q17" s="333"/>
      <c r="R17" s="246">
        <f t="shared" si="2"/>
        <v>0</v>
      </c>
      <c r="S17" s="246">
        <f t="shared" si="3"/>
        <v>1531</v>
      </c>
      <c r="T17" s="246">
        <f t="shared" si="4"/>
        <v>318.01</v>
      </c>
      <c r="U17" s="246">
        <f t="shared" si="5"/>
        <v>1212.99</v>
      </c>
      <c r="V17" s="334">
        <f t="shared" si="6"/>
        <v>6.4000000000000001E-2</v>
      </c>
      <c r="W17" s="246">
        <f t="shared" si="7"/>
        <v>77.631360000000001</v>
      </c>
      <c r="X17" s="246">
        <f t="shared" si="8"/>
        <v>6.15</v>
      </c>
      <c r="Y17" s="246">
        <f t="shared" si="9"/>
        <v>83.781360000000006</v>
      </c>
      <c r="Z17" s="246">
        <f t="shared" si="10"/>
        <v>200.7</v>
      </c>
      <c r="AA17" s="246">
        <f t="shared" si="11"/>
        <v>-116.91863999999998</v>
      </c>
      <c r="AB17" s="335"/>
      <c r="AC17" s="246">
        <v>0</v>
      </c>
      <c r="AD17" s="246">
        <f t="shared" si="12"/>
        <v>0</v>
      </c>
      <c r="AE17" s="246">
        <v>0</v>
      </c>
      <c r="AF17" s="332">
        <v>0</v>
      </c>
      <c r="AG17" s="332">
        <v>0</v>
      </c>
      <c r="AH17" s="336">
        <v>0</v>
      </c>
      <c r="AI17" s="246">
        <f t="shared" si="13"/>
        <v>0</v>
      </c>
      <c r="AJ17" s="337">
        <f t="shared" si="14"/>
        <v>1531</v>
      </c>
      <c r="AK17" s="246"/>
      <c r="AL17" s="54"/>
      <c r="AM17" s="253"/>
      <c r="AN17" s="254"/>
    </row>
    <row r="18" spans="1:40" s="30" customFormat="1" ht="43.5" customHeight="1" x14ac:dyDescent="0.2">
      <c r="A18" s="5"/>
      <c r="B18" s="41">
        <v>3</v>
      </c>
      <c r="C18" s="41" t="s">
        <v>448</v>
      </c>
      <c r="D18" s="329" t="s">
        <v>77</v>
      </c>
      <c r="E18" s="330" t="s">
        <v>31</v>
      </c>
      <c r="F18" s="330"/>
      <c r="G18" s="330">
        <v>15</v>
      </c>
      <c r="H18" s="331">
        <v>1010</v>
      </c>
      <c r="I18" s="246">
        <v>1531</v>
      </c>
      <c r="J18" s="332">
        <v>0</v>
      </c>
      <c r="K18" s="332">
        <f t="shared" si="0"/>
        <v>0</v>
      </c>
      <c r="L18" s="332">
        <v>0</v>
      </c>
      <c r="M18" s="332">
        <v>0</v>
      </c>
      <c r="N18" s="332">
        <v>0</v>
      </c>
      <c r="O18" s="332">
        <v>0</v>
      </c>
      <c r="P18" s="246">
        <f t="shared" si="1"/>
        <v>1531</v>
      </c>
      <c r="Q18" s="333"/>
      <c r="R18" s="246">
        <f t="shared" si="2"/>
        <v>0</v>
      </c>
      <c r="S18" s="246">
        <f t="shared" si="3"/>
        <v>1531</v>
      </c>
      <c r="T18" s="246">
        <f t="shared" si="4"/>
        <v>318.01</v>
      </c>
      <c r="U18" s="246">
        <f t="shared" si="5"/>
        <v>1212.99</v>
      </c>
      <c r="V18" s="334">
        <f t="shared" si="6"/>
        <v>6.4000000000000001E-2</v>
      </c>
      <c r="W18" s="246">
        <f t="shared" si="7"/>
        <v>77.631360000000001</v>
      </c>
      <c r="X18" s="246">
        <f t="shared" si="8"/>
        <v>6.15</v>
      </c>
      <c r="Y18" s="246">
        <f t="shared" si="9"/>
        <v>83.781360000000006</v>
      </c>
      <c r="Z18" s="246">
        <f t="shared" si="10"/>
        <v>200.7</v>
      </c>
      <c r="AA18" s="246">
        <f t="shared" si="11"/>
        <v>-116.91863999999998</v>
      </c>
      <c r="AB18" s="335"/>
      <c r="AC18" s="246">
        <v>0</v>
      </c>
      <c r="AD18" s="246">
        <f t="shared" si="12"/>
        <v>0</v>
      </c>
      <c r="AE18" s="246">
        <v>0</v>
      </c>
      <c r="AF18" s="332">
        <v>0</v>
      </c>
      <c r="AG18" s="332">
        <v>0</v>
      </c>
      <c r="AH18" s="336">
        <v>0</v>
      </c>
      <c r="AI18" s="246">
        <f t="shared" si="13"/>
        <v>0</v>
      </c>
      <c r="AJ18" s="337">
        <f t="shared" si="14"/>
        <v>1531</v>
      </c>
      <c r="AK18" s="246"/>
      <c r="AL18" s="249"/>
      <c r="AM18" s="252"/>
    </row>
    <row r="19" spans="1:40" s="30" customFormat="1" ht="43.5" customHeight="1" x14ac:dyDescent="0.2">
      <c r="A19" s="5"/>
      <c r="B19" s="41">
        <v>4</v>
      </c>
      <c r="C19" s="41" t="s">
        <v>448</v>
      </c>
      <c r="D19" s="329" t="s">
        <v>33</v>
      </c>
      <c r="E19" s="330" t="s">
        <v>31</v>
      </c>
      <c r="F19" s="330"/>
      <c r="G19" s="330">
        <v>15</v>
      </c>
      <c r="H19" s="331">
        <v>98.14</v>
      </c>
      <c r="I19" s="246">
        <v>1531</v>
      </c>
      <c r="J19" s="332">
        <v>0</v>
      </c>
      <c r="K19" s="332">
        <f t="shared" si="0"/>
        <v>0</v>
      </c>
      <c r="L19" s="332">
        <v>0</v>
      </c>
      <c r="M19" s="332">
        <v>0</v>
      </c>
      <c r="N19" s="332">
        <v>0</v>
      </c>
      <c r="O19" s="332">
        <v>0</v>
      </c>
      <c r="P19" s="246">
        <f t="shared" si="1"/>
        <v>1531</v>
      </c>
      <c r="Q19" s="333"/>
      <c r="R19" s="246">
        <f t="shared" si="2"/>
        <v>0</v>
      </c>
      <c r="S19" s="246">
        <f t="shared" si="3"/>
        <v>1531</v>
      </c>
      <c r="T19" s="246">
        <f t="shared" si="4"/>
        <v>318.01</v>
      </c>
      <c r="U19" s="246">
        <f t="shared" si="5"/>
        <v>1212.99</v>
      </c>
      <c r="V19" s="334">
        <f t="shared" si="6"/>
        <v>6.4000000000000001E-2</v>
      </c>
      <c r="W19" s="246">
        <f t="shared" si="7"/>
        <v>77.631360000000001</v>
      </c>
      <c r="X19" s="246">
        <f t="shared" si="8"/>
        <v>6.15</v>
      </c>
      <c r="Y19" s="246">
        <f t="shared" si="9"/>
        <v>83.781360000000006</v>
      </c>
      <c r="Z19" s="246">
        <f t="shared" si="10"/>
        <v>200.7</v>
      </c>
      <c r="AA19" s="246">
        <f t="shared" si="11"/>
        <v>-116.91863999999998</v>
      </c>
      <c r="AB19" s="335"/>
      <c r="AC19" s="246">
        <v>0</v>
      </c>
      <c r="AD19" s="246">
        <f t="shared" si="12"/>
        <v>0</v>
      </c>
      <c r="AE19" s="246">
        <v>0</v>
      </c>
      <c r="AF19" s="332">
        <v>0</v>
      </c>
      <c r="AG19" s="332">
        <v>0</v>
      </c>
      <c r="AH19" s="336">
        <v>0</v>
      </c>
      <c r="AI19" s="246">
        <f t="shared" si="13"/>
        <v>0</v>
      </c>
      <c r="AJ19" s="337">
        <f t="shared" si="14"/>
        <v>1531</v>
      </c>
      <c r="AK19" s="246"/>
      <c r="AL19" s="249"/>
      <c r="AM19" s="252"/>
    </row>
    <row r="20" spans="1:40" s="30" customFormat="1" ht="43.5" customHeight="1" x14ac:dyDescent="0.2">
      <c r="A20" s="5"/>
      <c r="B20" s="41">
        <v>5</v>
      </c>
      <c r="C20" s="41" t="s">
        <v>448</v>
      </c>
      <c r="D20" s="329" t="s">
        <v>90</v>
      </c>
      <c r="E20" s="330" t="s">
        <v>31</v>
      </c>
      <c r="F20" s="330"/>
      <c r="G20" s="330">
        <v>15</v>
      </c>
      <c r="H20" s="331">
        <v>98.14</v>
      </c>
      <c r="I20" s="246">
        <v>1531</v>
      </c>
      <c r="J20" s="332">
        <v>0</v>
      </c>
      <c r="K20" s="332">
        <f t="shared" si="0"/>
        <v>0</v>
      </c>
      <c r="L20" s="332">
        <v>0</v>
      </c>
      <c r="M20" s="332">
        <v>0</v>
      </c>
      <c r="N20" s="332">
        <v>0</v>
      </c>
      <c r="O20" s="332">
        <v>0</v>
      </c>
      <c r="P20" s="246">
        <f t="shared" si="1"/>
        <v>1531</v>
      </c>
      <c r="Q20" s="333"/>
      <c r="R20" s="246">
        <f t="shared" si="2"/>
        <v>0</v>
      </c>
      <c r="S20" s="246">
        <f t="shared" si="3"/>
        <v>1531</v>
      </c>
      <c r="T20" s="246">
        <f t="shared" si="4"/>
        <v>318.01</v>
      </c>
      <c r="U20" s="246">
        <f t="shared" si="5"/>
        <v>1212.99</v>
      </c>
      <c r="V20" s="334">
        <f t="shared" si="6"/>
        <v>6.4000000000000001E-2</v>
      </c>
      <c r="W20" s="246">
        <f t="shared" si="7"/>
        <v>77.631360000000001</v>
      </c>
      <c r="X20" s="246">
        <f t="shared" si="8"/>
        <v>6.15</v>
      </c>
      <c r="Y20" s="246">
        <f t="shared" si="9"/>
        <v>83.781360000000006</v>
      </c>
      <c r="Z20" s="246">
        <f t="shared" si="10"/>
        <v>200.7</v>
      </c>
      <c r="AA20" s="246">
        <f t="shared" si="11"/>
        <v>-116.91863999999998</v>
      </c>
      <c r="AB20" s="335"/>
      <c r="AC20" s="246">
        <v>0</v>
      </c>
      <c r="AD20" s="246">
        <f t="shared" si="12"/>
        <v>0</v>
      </c>
      <c r="AE20" s="246">
        <v>0</v>
      </c>
      <c r="AF20" s="332">
        <v>0</v>
      </c>
      <c r="AG20" s="332">
        <v>0</v>
      </c>
      <c r="AH20" s="336">
        <v>0</v>
      </c>
      <c r="AI20" s="246">
        <f t="shared" si="13"/>
        <v>0</v>
      </c>
      <c r="AJ20" s="337">
        <f t="shared" si="14"/>
        <v>1531</v>
      </c>
      <c r="AK20" s="246"/>
      <c r="AL20" s="249"/>
      <c r="AM20" s="252"/>
    </row>
    <row r="21" spans="1:40" s="30" customFormat="1" ht="43.5" customHeight="1" x14ac:dyDescent="0.2">
      <c r="A21" s="5"/>
      <c r="B21" s="41">
        <v>6</v>
      </c>
      <c r="C21" s="41" t="s">
        <v>448</v>
      </c>
      <c r="D21" s="329" t="s">
        <v>194</v>
      </c>
      <c r="E21" s="330" t="s">
        <v>31</v>
      </c>
      <c r="F21" s="330"/>
      <c r="G21" s="330">
        <v>15</v>
      </c>
      <c r="H21" s="331">
        <v>98.14</v>
      </c>
      <c r="I21" s="246">
        <v>1531</v>
      </c>
      <c r="J21" s="332">
        <v>0</v>
      </c>
      <c r="K21" s="332">
        <f t="shared" si="0"/>
        <v>0</v>
      </c>
      <c r="L21" s="332">
        <v>0</v>
      </c>
      <c r="M21" s="332">
        <v>0</v>
      </c>
      <c r="N21" s="332">
        <v>0</v>
      </c>
      <c r="O21" s="332">
        <v>0</v>
      </c>
      <c r="P21" s="246">
        <f t="shared" si="1"/>
        <v>1531</v>
      </c>
      <c r="Q21" s="333"/>
      <c r="R21" s="246">
        <f t="shared" si="2"/>
        <v>0</v>
      </c>
      <c r="S21" s="246">
        <f t="shared" si="3"/>
        <v>1531</v>
      </c>
      <c r="T21" s="246">
        <f t="shared" si="4"/>
        <v>318.01</v>
      </c>
      <c r="U21" s="246">
        <f t="shared" si="5"/>
        <v>1212.99</v>
      </c>
      <c r="V21" s="334">
        <f t="shared" si="6"/>
        <v>6.4000000000000001E-2</v>
      </c>
      <c r="W21" s="246">
        <f t="shared" si="7"/>
        <v>77.631360000000001</v>
      </c>
      <c r="X21" s="246">
        <f t="shared" si="8"/>
        <v>6.15</v>
      </c>
      <c r="Y21" s="246">
        <f t="shared" si="9"/>
        <v>83.781360000000006</v>
      </c>
      <c r="Z21" s="246">
        <f t="shared" si="10"/>
        <v>200.7</v>
      </c>
      <c r="AA21" s="246">
        <f t="shared" si="11"/>
        <v>-116.91863999999998</v>
      </c>
      <c r="AB21" s="335"/>
      <c r="AC21" s="246">
        <v>0</v>
      </c>
      <c r="AD21" s="246">
        <f t="shared" si="12"/>
        <v>0</v>
      </c>
      <c r="AE21" s="246">
        <v>0</v>
      </c>
      <c r="AF21" s="332">
        <v>0</v>
      </c>
      <c r="AG21" s="332">
        <v>0</v>
      </c>
      <c r="AH21" s="336">
        <v>0</v>
      </c>
      <c r="AI21" s="246">
        <f t="shared" si="13"/>
        <v>0</v>
      </c>
      <c r="AJ21" s="337">
        <f t="shared" si="14"/>
        <v>1531</v>
      </c>
      <c r="AK21" s="246"/>
      <c r="AL21" s="249"/>
      <c r="AM21" s="252"/>
    </row>
    <row r="22" spans="1:40" s="30" customFormat="1" ht="30.75" customHeight="1" x14ac:dyDescent="0.2">
      <c r="A22" s="5"/>
      <c r="B22" s="41">
        <v>7</v>
      </c>
      <c r="C22" s="41" t="s">
        <v>448</v>
      </c>
      <c r="D22" s="338" t="s">
        <v>140</v>
      </c>
      <c r="E22" s="330" t="s">
        <v>31</v>
      </c>
      <c r="F22" s="41"/>
      <c r="G22" s="41">
        <v>15</v>
      </c>
      <c r="H22" s="331">
        <v>98.14</v>
      </c>
      <c r="I22" s="246">
        <v>1531</v>
      </c>
      <c r="J22" s="332">
        <v>0</v>
      </c>
      <c r="K22" s="332">
        <f t="shared" si="0"/>
        <v>0</v>
      </c>
      <c r="L22" s="332">
        <v>0</v>
      </c>
      <c r="M22" s="332">
        <v>0</v>
      </c>
      <c r="N22" s="332">
        <v>0</v>
      </c>
      <c r="O22" s="332">
        <v>0</v>
      </c>
      <c r="P22" s="246">
        <f t="shared" si="1"/>
        <v>1531</v>
      </c>
      <c r="Q22" s="333"/>
      <c r="R22" s="246">
        <f t="shared" si="2"/>
        <v>0</v>
      </c>
      <c r="S22" s="246">
        <f t="shared" si="3"/>
        <v>1531</v>
      </c>
      <c r="T22" s="246">
        <f t="shared" si="4"/>
        <v>318.01</v>
      </c>
      <c r="U22" s="246">
        <f t="shared" si="5"/>
        <v>1212.99</v>
      </c>
      <c r="V22" s="334">
        <f t="shared" si="6"/>
        <v>6.4000000000000001E-2</v>
      </c>
      <c r="W22" s="246">
        <f t="shared" si="7"/>
        <v>77.631360000000001</v>
      </c>
      <c r="X22" s="246">
        <f t="shared" si="8"/>
        <v>6.15</v>
      </c>
      <c r="Y22" s="246">
        <f t="shared" si="9"/>
        <v>83.781360000000006</v>
      </c>
      <c r="Z22" s="246">
        <f t="shared" si="10"/>
        <v>200.7</v>
      </c>
      <c r="AA22" s="246">
        <f t="shared" si="11"/>
        <v>-116.91863999999998</v>
      </c>
      <c r="AB22" s="333"/>
      <c r="AC22" s="246">
        <v>0</v>
      </c>
      <c r="AD22" s="246">
        <f t="shared" si="12"/>
        <v>0</v>
      </c>
      <c r="AE22" s="246">
        <v>0</v>
      </c>
      <c r="AF22" s="332">
        <v>0</v>
      </c>
      <c r="AG22" s="332">
        <v>0</v>
      </c>
      <c r="AH22" s="336">
        <v>0</v>
      </c>
      <c r="AI22" s="246">
        <f t="shared" si="13"/>
        <v>0</v>
      </c>
      <c r="AJ22" s="337">
        <f t="shared" si="14"/>
        <v>1531</v>
      </c>
      <c r="AK22" s="41"/>
      <c r="AL22" s="54"/>
      <c r="AM22" s="253"/>
    </row>
    <row r="23" spans="1:40" x14ac:dyDescent="0.2">
      <c r="B23" s="42"/>
      <c r="C23" s="42"/>
      <c r="D23" s="72"/>
      <c r="E23" s="42"/>
      <c r="F23" s="42"/>
      <c r="G23" s="42"/>
      <c r="H23" s="42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255"/>
      <c r="U23" s="49"/>
      <c r="V23" s="49"/>
      <c r="W23" s="49"/>
      <c r="X23" s="49"/>
      <c r="Y23" s="49"/>
      <c r="Z23" s="255"/>
      <c r="AA23" s="49"/>
      <c r="AB23" s="49"/>
      <c r="AC23" s="49"/>
      <c r="AD23" s="49"/>
      <c r="AE23" s="49"/>
      <c r="AF23" s="49"/>
      <c r="AG23" s="49"/>
      <c r="AH23" s="49"/>
      <c r="AI23" s="49"/>
      <c r="AJ23" s="256"/>
      <c r="AK23" s="42"/>
      <c r="AL23" s="249"/>
    </row>
    <row r="24" spans="1:40" ht="16.5" thickBot="1" x14ac:dyDescent="0.25">
      <c r="B24" s="430" t="s">
        <v>17</v>
      </c>
      <c r="C24" s="431"/>
      <c r="D24" s="431"/>
      <c r="E24" s="431"/>
      <c r="F24" s="431"/>
      <c r="G24" s="431"/>
      <c r="H24" s="432"/>
      <c r="I24" s="50">
        <f t="shared" ref="I24:P24" si="15">SUM(I16:I22)</f>
        <v>10717</v>
      </c>
      <c r="J24" s="50">
        <f t="shared" si="15"/>
        <v>0</v>
      </c>
      <c r="K24" s="50">
        <f t="shared" si="15"/>
        <v>0</v>
      </c>
      <c r="L24" s="50">
        <f t="shared" si="15"/>
        <v>0</v>
      </c>
      <c r="M24" s="50">
        <f t="shared" si="15"/>
        <v>0</v>
      </c>
      <c r="N24" s="50">
        <f t="shared" si="15"/>
        <v>0</v>
      </c>
      <c r="O24" s="50">
        <f t="shared" si="15"/>
        <v>0</v>
      </c>
      <c r="P24" s="50">
        <f t="shared" si="15"/>
        <v>10717</v>
      </c>
      <c r="Q24" s="50"/>
      <c r="R24" s="50">
        <f t="shared" ref="R24:AA24" si="16">SUM(R16:R22)</f>
        <v>0</v>
      </c>
      <c r="S24" s="50">
        <f t="shared" si="16"/>
        <v>10717</v>
      </c>
      <c r="T24" s="50">
        <f t="shared" si="16"/>
        <v>2226.0699999999997</v>
      </c>
      <c r="U24" s="50">
        <f t="shared" si="16"/>
        <v>8490.93</v>
      </c>
      <c r="V24" s="50">
        <f t="shared" si="16"/>
        <v>0.44800000000000001</v>
      </c>
      <c r="W24" s="50">
        <f t="shared" si="16"/>
        <v>543.41951999999992</v>
      </c>
      <c r="X24" s="50">
        <f t="shared" si="16"/>
        <v>43.05</v>
      </c>
      <c r="Y24" s="50">
        <f t="shared" si="16"/>
        <v>586.4695200000001</v>
      </c>
      <c r="Z24" s="50">
        <f t="shared" si="16"/>
        <v>1404.9</v>
      </c>
      <c r="AA24" s="50">
        <f t="shared" si="16"/>
        <v>-818.43047999999987</v>
      </c>
      <c r="AB24" s="50"/>
      <c r="AC24" s="50">
        <f t="shared" ref="AC24:AI24" si="17">SUM(AC16:AC22)</f>
        <v>0</v>
      </c>
      <c r="AD24" s="50">
        <f t="shared" si="17"/>
        <v>0</v>
      </c>
      <c r="AE24" s="50">
        <f t="shared" si="17"/>
        <v>0</v>
      </c>
      <c r="AF24" s="50">
        <f t="shared" si="17"/>
        <v>0</v>
      </c>
      <c r="AG24" s="50">
        <f t="shared" si="17"/>
        <v>0</v>
      </c>
      <c r="AH24" s="50">
        <f t="shared" si="17"/>
        <v>0</v>
      </c>
      <c r="AI24" s="50">
        <f t="shared" si="17"/>
        <v>0</v>
      </c>
      <c r="AJ24" s="257">
        <f>SUM(AJ16:AJ22)</f>
        <v>10717</v>
      </c>
      <c r="AK24" s="42"/>
      <c r="AL24" s="249"/>
      <c r="AM24" s="253">
        <f>P24+AC24-AI24</f>
        <v>10717</v>
      </c>
    </row>
    <row r="25" spans="1:40" ht="18" thickTop="1" x14ac:dyDescent="0.2">
      <c r="B25" s="42"/>
      <c r="C25" s="42"/>
      <c r="D25" s="7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248"/>
      <c r="AK25" s="42"/>
      <c r="AL25" s="249"/>
    </row>
    <row r="26" spans="1:40" x14ac:dyDescent="0.2">
      <c r="B26" s="42"/>
      <c r="C26" s="42"/>
      <c r="D26" s="7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248"/>
      <c r="AK26" s="42"/>
      <c r="AL26" s="249"/>
    </row>
    <row r="27" spans="1:40" x14ac:dyDescent="0.2">
      <c r="B27" s="42"/>
      <c r="C27" s="42"/>
      <c r="D27" s="7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248"/>
      <c r="AK27" s="42"/>
      <c r="AL27" s="249"/>
    </row>
    <row r="28" spans="1:40" x14ac:dyDescent="0.2">
      <c r="B28" s="42"/>
      <c r="C28" s="42"/>
      <c r="D28" s="7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248"/>
      <c r="AK28" s="42"/>
      <c r="AL28" s="249"/>
    </row>
    <row r="29" spans="1:40" x14ac:dyDescent="0.2">
      <c r="B29" s="42"/>
      <c r="C29" s="42"/>
      <c r="D29" s="7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248"/>
      <c r="AK29" s="42"/>
      <c r="AL29" s="249"/>
    </row>
    <row r="30" spans="1:40" x14ac:dyDescent="0.2">
      <c r="B30" s="42"/>
      <c r="C30" s="42"/>
      <c r="D30" s="7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248"/>
      <c r="AK30" s="42"/>
      <c r="AL30" s="249"/>
    </row>
    <row r="31" spans="1:40" x14ac:dyDescent="0.2">
      <c r="B31" s="42"/>
      <c r="C31" s="42"/>
      <c r="D31" s="7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248"/>
      <c r="AK31" s="42"/>
      <c r="AL31" s="249"/>
    </row>
    <row r="32" spans="1:40" x14ac:dyDescent="0.2">
      <c r="B32" s="42"/>
      <c r="C32" s="42"/>
      <c r="D32" s="7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248"/>
      <c r="AK32" s="42"/>
      <c r="AL32" s="249"/>
    </row>
    <row r="33" spans="1:38" ht="18" thickBot="1" x14ac:dyDescent="0.25">
      <c r="A33" s="5" t="s">
        <v>29</v>
      </c>
      <c r="B33" s="42"/>
      <c r="C33" s="42"/>
      <c r="D33" s="74"/>
      <c r="E33" s="5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51"/>
      <c r="AD33" s="51"/>
      <c r="AE33" s="42"/>
      <c r="AF33" s="42"/>
      <c r="AG33" s="42"/>
      <c r="AH33" s="51"/>
      <c r="AI33" s="51"/>
      <c r="AJ33" s="258"/>
      <c r="AK33" s="51"/>
      <c r="AL33" s="249"/>
    </row>
    <row r="34" spans="1:38" ht="31.5" customHeight="1" x14ac:dyDescent="0.2">
      <c r="B34" s="42"/>
      <c r="C34" s="42"/>
      <c r="D34" s="433" t="s">
        <v>437</v>
      </c>
      <c r="E34" s="43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34" t="s">
        <v>354</v>
      </c>
      <c r="AD34" s="434"/>
      <c r="AE34" s="434"/>
      <c r="AF34" s="434"/>
      <c r="AG34" s="434"/>
      <c r="AH34" s="434"/>
      <c r="AI34" s="434"/>
      <c r="AJ34" s="434"/>
      <c r="AK34" s="434"/>
      <c r="AL34" s="249"/>
    </row>
    <row r="35" spans="1:38" ht="31.5" customHeight="1" x14ac:dyDescent="0.2">
      <c r="B35" s="42"/>
      <c r="C35" s="42"/>
      <c r="D35" s="435" t="s">
        <v>156</v>
      </c>
      <c r="E35" s="435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34" t="s">
        <v>438</v>
      </c>
      <c r="AD35" s="434"/>
      <c r="AE35" s="434"/>
      <c r="AF35" s="434"/>
      <c r="AG35" s="434"/>
      <c r="AH35" s="434"/>
      <c r="AI35" s="434"/>
      <c r="AJ35" s="434"/>
      <c r="AK35" s="434"/>
      <c r="AL35" s="249"/>
    </row>
    <row r="36" spans="1:38" x14ac:dyDescent="0.2">
      <c r="B36" s="52"/>
      <c r="C36" s="52"/>
      <c r="D36" s="72"/>
      <c r="E36" s="52"/>
      <c r="F36" s="52"/>
      <c r="G36" s="52"/>
      <c r="H36" s="52"/>
      <c r="AK36" s="52"/>
      <c r="AL36" s="260"/>
    </row>
    <row r="37" spans="1:38" x14ac:dyDescent="0.2">
      <c r="B37" s="52"/>
      <c r="C37" s="52"/>
      <c r="D37" s="72"/>
      <c r="E37" s="52"/>
      <c r="F37" s="52"/>
      <c r="G37" s="52"/>
      <c r="H37" s="52"/>
      <c r="AK37" s="52"/>
      <c r="AL37" s="260"/>
    </row>
    <row r="38" spans="1:38" x14ac:dyDescent="0.2">
      <c r="B38" s="52"/>
      <c r="C38" s="52"/>
      <c r="D38" s="72"/>
      <c r="E38" s="52"/>
      <c r="F38" s="52"/>
      <c r="G38" s="52"/>
      <c r="H38" s="52"/>
      <c r="I38" s="52" t="s">
        <v>97</v>
      </c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259">
        <f>+AJ16+AJ17+AJ18+AJ19+AJ20+AJ21+AJ22</f>
        <v>10717</v>
      </c>
      <c r="AK38" s="52"/>
      <c r="AL38" s="260"/>
    </row>
    <row r="39" spans="1:38" x14ac:dyDescent="0.2">
      <c r="B39" s="52"/>
      <c r="C39" s="52"/>
      <c r="D39" s="72"/>
      <c r="E39" s="52"/>
      <c r="F39" s="52"/>
      <c r="G39" s="52"/>
      <c r="H39" s="52"/>
      <c r="I39" s="52" t="s">
        <v>98</v>
      </c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259">
        <v>0</v>
      </c>
      <c r="AK39" s="52"/>
      <c r="AL39" s="260"/>
    </row>
    <row r="40" spans="1:38" x14ac:dyDescent="0.2">
      <c r="B40" s="52"/>
      <c r="C40" s="52"/>
      <c r="D40" s="7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259">
        <f>+AJ38+AJ39</f>
        <v>10717</v>
      </c>
      <c r="AK40" s="52"/>
      <c r="AL40" s="260"/>
    </row>
    <row r="41" spans="1:38" x14ac:dyDescent="0.2">
      <c r="B41" s="52"/>
      <c r="C41" s="52"/>
      <c r="D41" s="7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261"/>
      <c r="AK41" s="52"/>
      <c r="AL41" s="260"/>
    </row>
    <row r="42" spans="1:38" x14ac:dyDescent="0.2">
      <c r="AJ42" s="262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4:H24"/>
    <mergeCell ref="D34:E34"/>
    <mergeCell ref="AC34:AK34"/>
    <mergeCell ref="D35:E35"/>
    <mergeCell ref="AC35:AK3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27" workbookViewId="0">
      <selection activeCell="E49" sqref="E49:E53"/>
    </sheetView>
  </sheetViews>
  <sheetFormatPr baseColWidth="10" defaultRowHeight="12.75" x14ac:dyDescent="0.2"/>
  <cols>
    <col min="3" max="3" width="31" style="37" customWidth="1"/>
    <col min="4" max="4" width="17.140625" style="38" customWidth="1"/>
    <col min="5" max="5" width="22.7109375" customWidth="1"/>
    <col min="6" max="6" width="13.140625" customWidth="1"/>
    <col min="7" max="7" width="13.42578125" hidden="1" customWidth="1"/>
    <col min="8" max="8" width="13.85546875" style="275" customWidth="1"/>
    <col min="9" max="9" width="27.85546875" customWidth="1"/>
    <col min="10" max="36" width="0" hidden="1" customWidth="1"/>
  </cols>
  <sheetData>
    <row r="2" spans="1:39" x14ac:dyDescent="0.2">
      <c r="A2" s="42"/>
      <c r="B2" s="42"/>
      <c r="C2" s="48"/>
      <c r="D2" s="48"/>
      <c r="E2" s="42"/>
      <c r="F2" s="42"/>
      <c r="G2" s="42"/>
      <c r="H2" s="267"/>
      <c r="I2" s="4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9" ht="20.25" customHeight="1" x14ac:dyDescent="0.2">
      <c r="A3" s="42"/>
      <c r="B3" s="42"/>
      <c r="C3" s="435" t="s">
        <v>104</v>
      </c>
      <c r="D3" s="435"/>
      <c r="E3" s="435"/>
      <c r="F3" s="435"/>
      <c r="G3" s="435"/>
      <c r="H3" s="435"/>
      <c r="I3" s="435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9" x14ac:dyDescent="0.2">
      <c r="A4" s="42"/>
      <c r="B4" s="42"/>
      <c r="C4" s="48"/>
      <c r="D4" s="48"/>
      <c r="E4" s="42"/>
      <c r="F4" s="42"/>
      <c r="G4" s="42"/>
      <c r="H4" s="267"/>
      <c r="I4" s="4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9" x14ac:dyDescent="0.2">
      <c r="A5" s="42"/>
      <c r="B5" s="42"/>
      <c r="C5" s="48"/>
      <c r="D5" s="48"/>
      <c r="E5" s="42"/>
      <c r="F5" s="42"/>
      <c r="G5" s="42"/>
      <c r="H5" s="267"/>
      <c r="I5" s="4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9" x14ac:dyDescent="0.2">
      <c r="A6" s="452" t="s">
        <v>488</v>
      </c>
      <c r="B6" s="452"/>
      <c r="C6" s="452"/>
      <c r="D6" s="452"/>
      <c r="E6" s="452"/>
      <c r="F6" s="452"/>
      <c r="G6" s="452"/>
      <c r="H6" s="452"/>
      <c r="I6" s="4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9" x14ac:dyDescent="0.2">
      <c r="A7" s="447" t="s">
        <v>150</v>
      </c>
      <c r="B7" s="277"/>
      <c r="C7" s="453" t="s">
        <v>14</v>
      </c>
      <c r="D7" s="453" t="s">
        <v>28</v>
      </c>
      <c r="E7" s="41"/>
      <c r="F7" s="40" t="s">
        <v>149</v>
      </c>
      <c r="G7" s="40" t="s">
        <v>1</v>
      </c>
      <c r="H7" s="456" t="s">
        <v>402</v>
      </c>
      <c r="I7" s="447" t="s">
        <v>399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9" x14ac:dyDescent="0.2">
      <c r="A8" s="448"/>
      <c r="B8" s="278" t="s">
        <v>448</v>
      </c>
      <c r="C8" s="454"/>
      <c r="D8" s="454"/>
      <c r="E8" s="40" t="s">
        <v>105</v>
      </c>
      <c r="F8" s="55" t="s">
        <v>15</v>
      </c>
      <c r="G8" s="40" t="s">
        <v>16</v>
      </c>
      <c r="H8" s="457"/>
      <c r="I8" s="448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9" x14ac:dyDescent="0.2">
      <c r="A9" s="449"/>
      <c r="B9" s="279"/>
      <c r="C9" s="455"/>
      <c r="D9" s="455"/>
      <c r="E9" s="40"/>
      <c r="F9" s="40"/>
      <c r="G9" s="40"/>
      <c r="H9" s="458"/>
      <c r="I9" s="449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265">
        <f>+H10+H11+H12+H13+H14+H15+H16+H17+H18+H19+H20+H21</f>
        <v>16064</v>
      </c>
      <c r="AM9" t="s">
        <v>97</v>
      </c>
    </row>
    <row r="10" spans="1:39" ht="25.5" x14ac:dyDescent="0.2">
      <c r="A10" s="41">
        <v>1</v>
      </c>
      <c r="B10" s="41" t="s">
        <v>448</v>
      </c>
      <c r="C10" s="339" t="s">
        <v>318</v>
      </c>
      <c r="D10" s="93" t="s">
        <v>106</v>
      </c>
      <c r="E10" s="330"/>
      <c r="F10" s="330">
        <v>15</v>
      </c>
      <c r="G10" s="331">
        <v>92.6</v>
      </c>
      <c r="H10" s="340">
        <f>F10*G10</f>
        <v>1389</v>
      </c>
      <c r="I10" s="246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247"/>
      <c r="AM10" t="s">
        <v>98</v>
      </c>
    </row>
    <row r="11" spans="1:39" ht="38.25" x14ac:dyDescent="0.2">
      <c r="A11" s="41">
        <v>2</v>
      </c>
      <c r="B11" s="41" t="s">
        <v>448</v>
      </c>
      <c r="C11" s="339" t="s">
        <v>319</v>
      </c>
      <c r="D11" s="93" t="s">
        <v>107</v>
      </c>
      <c r="E11" s="330"/>
      <c r="F11" s="330">
        <v>15</v>
      </c>
      <c r="G11" s="331">
        <v>133.33000000000001</v>
      </c>
      <c r="H11" s="340">
        <v>2000</v>
      </c>
      <c r="I11" s="24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9" ht="25.5" x14ac:dyDescent="0.2">
      <c r="A12" s="41">
        <v>3</v>
      </c>
      <c r="B12" s="41" t="s">
        <v>448</v>
      </c>
      <c r="C12" s="339" t="s">
        <v>320</v>
      </c>
      <c r="D12" s="93" t="s">
        <v>154</v>
      </c>
      <c r="E12" s="330"/>
      <c r="F12" s="330">
        <v>15</v>
      </c>
      <c r="G12" s="331">
        <v>86.73</v>
      </c>
      <c r="H12" s="340">
        <v>1301</v>
      </c>
      <c r="I12" s="246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9" ht="25.5" x14ac:dyDescent="0.2">
      <c r="A13" s="41">
        <v>4</v>
      </c>
      <c r="B13" s="41" t="s">
        <v>448</v>
      </c>
      <c r="C13" s="339" t="s">
        <v>321</v>
      </c>
      <c r="D13" s="93" t="s">
        <v>155</v>
      </c>
      <c r="E13" s="330"/>
      <c r="F13" s="330">
        <v>15</v>
      </c>
      <c r="G13" s="331">
        <v>86.73</v>
      </c>
      <c r="H13" s="340">
        <v>1301</v>
      </c>
      <c r="I13" s="246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9" ht="25.5" x14ac:dyDescent="0.2">
      <c r="A14" s="41">
        <v>5</v>
      </c>
      <c r="B14" s="41" t="s">
        <v>448</v>
      </c>
      <c r="C14" s="339" t="s">
        <v>322</v>
      </c>
      <c r="D14" s="93" t="s">
        <v>116</v>
      </c>
      <c r="E14" s="330"/>
      <c r="F14" s="330">
        <v>15</v>
      </c>
      <c r="G14" s="331">
        <v>80</v>
      </c>
      <c r="H14" s="340">
        <v>1200</v>
      </c>
      <c r="I14" s="246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9" ht="25.5" x14ac:dyDescent="0.2">
      <c r="A15" s="41">
        <v>6</v>
      </c>
      <c r="B15" s="41" t="s">
        <v>448</v>
      </c>
      <c r="C15" s="339" t="s">
        <v>323</v>
      </c>
      <c r="D15" s="93" t="s">
        <v>116</v>
      </c>
      <c r="E15" s="330"/>
      <c r="F15" s="330">
        <v>15</v>
      </c>
      <c r="G15" s="331">
        <v>100</v>
      </c>
      <c r="H15" s="340">
        <v>1500</v>
      </c>
      <c r="I15" s="246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9" ht="38.25" x14ac:dyDescent="0.2">
      <c r="A16" s="41">
        <v>7</v>
      </c>
      <c r="B16" s="41" t="s">
        <v>448</v>
      </c>
      <c r="C16" s="339" t="s">
        <v>324</v>
      </c>
      <c r="D16" s="93" t="s">
        <v>168</v>
      </c>
      <c r="E16" s="330"/>
      <c r="F16" s="330">
        <v>15</v>
      </c>
      <c r="G16" s="331">
        <v>65</v>
      </c>
      <c r="H16" s="340">
        <f>F16*G16</f>
        <v>975</v>
      </c>
      <c r="I16" s="246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8" s="4" customFormat="1" ht="25.5" x14ac:dyDescent="0.2">
      <c r="A17" s="41">
        <v>8</v>
      </c>
      <c r="B17" s="41" t="s">
        <v>448</v>
      </c>
      <c r="C17" s="341" t="s">
        <v>146</v>
      </c>
      <c r="D17" s="342" t="s">
        <v>147</v>
      </c>
      <c r="E17" s="41"/>
      <c r="F17" s="330">
        <v>15</v>
      </c>
      <c r="G17" s="343">
        <v>88.67</v>
      </c>
      <c r="H17" s="340">
        <v>1330</v>
      </c>
      <c r="I17" s="4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8" s="4" customFormat="1" ht="25.5" x14ac:dyDescent="0.2">
      <c r="A18" s="41">
        <v>9</v>
      </c>
      <c r="B18" s="41" t="s">
        <v>448</v>
      </c>
      <c r="C18" s="341" t="s">
        <v>325</v>
      </c>
      <c r="D18" s="93" t="s">
        <v>167</v>
      </c>
      <c r="E18" s="41"/>
      <c r="F18" s="330">
        <v>15</v>
      </c>
      <c r="G18" s="343">
        <v>64.53</v>
      </c>
      <c r="H18" s="340">
        <v>968</v>
      </c>
      <c r="I18" s="4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8" ht="20.25" customHeight="1" x14ac:dyDescent="0.2">
      <c r="A19" s="41">
        <v>10</v>
      </c>
      <c r="B19" s="41" t="s">
        <v>448</v>
      </c>
      <c r="C19" s="341" t="s">
        <v>169</v>
      </c>
      <c r="D19" s="342"/>
      <c r="E19" s="41"/>
      <c r="F19" s="330">
        <v>15</v>
      </c>
      <c r="G19" s="41">
        <v>80</v>
      </c>
      <c r="H19" s="340">
        <v>1200</v>
      </c>
      <c r="I19" s="41"/>
      <c r="J19" s="52" t="s">
        <v>401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8" ht="39.75" customHeight="1" x14ac:dyDescent="0.2">
      <c r="A20" s="41">
        <v>11</v>
      </c>
      <c r="B20" s="290" t="s">
        <v>448</v>
      </c>
      <c r="C20" s="344" t="s">
        <v>350</v>
      </c>
      <c r="D20" s="341" t="s">
        <v>180</v>
      </c>
      <c r="E20" s="290"/>
      <c r="F20" s="330">
        <v>15</v>
      </c>
      <c r="G20" s="345">
        <f>H20/15</f>
        <v>113.33333333333333</v>
      </c>
      <c r="H20" s="340">
        <v>1700</v>
      </c>
      <c r="I20" s="4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8" ht="41.25" customHeight="1" x14ac:dyDescent="0.2">
      <c r="A21" s="346">
        <v>12</v>
      </c>
      <c r="B21" s="346" t="s">
        <v>448</v>
      </c>
      <c r="C21" s="341" t="s">
        <v>400</v>
      </c>
      <c r="D21" s="344" t="s">
        <v>181</v>
      </c>
      <c r="E21" s="41"/>
      <c r="F21" s="347">
        <v>15</v>
      </c>
      <c r="G21" s="345">
        <v>80</v>
      </c>
      <c r="H21" s="340">
        <f>F21*G21</f>
        <v>1200</v>
      </c>
      <c r="I21" s="41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8" ht="13.5" thickBot="1" x14ac:dyDescent="0.25">
      <c r="A22" s="443" t="s">
        <v>17</v>
      </c>
      <c r="B22" s="444"/>
      <c r="C22" s="444"/>
      <c r="D22" s="444"/>
      <c r="E22" s="444"/>
      <c r="F22" s="444"/>
      <c r="G22" s="445"/>
      <c r="H22" s="268">
        <f>SUM(H10:H21)</f>
        <v>16064</v>
      </c>
      <c r="I22" s="4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245"/>
    </row>
    <row r="23" spans="1:38" ht="13.5" thickTop="1" x14ac:dyDescent="0.2">
      <c r="A23" s="42"/>
      <c r="B23" s="42"/>
      <c r="C23" s="48"/>
      <c r="D23" s="48"/>
      <c r="E23" s="42"/>
      <c r="F23" s="42"/>
      <c r="G23" s="42"/>
      <c r="H23" s="267"/>
      <c r="I23" s="4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8" x14ac:dyDescent="0.2">
      <c r="A24" s="42"/>
      <c r="B24" s="42"/>
      <c r="C24" s="48"/>
      <c r="D24" s="48"/>
      <c r="E24" s="42"/>
      <c r="F24" s="42"/>
      <c r="G24" s="42"/>
      <c r="H24" s="267"/>
      <c r="I24" s="4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8" ht="13.5" thickBot="1" x14ac:dyDescent="0.25">
      <c r="A25" s="42"/>
      <c r="B25" s="42"/>
      <c r="C25" s="48"/>
      <c r="D25" s="48"/>
      <c r="E25" s="42"/>
      <c r="F25" s="42"/>
      <c r="G25" s="42"/>
      <c r="H25" s="269"/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8" ht="15" customHeight="1" x14ac:dyDescent="0.2">
      <c r="A26" s="433" t="s">
        <v>153</v>
      </c>
      <c r="B26" s="433"/>
      <c r="C26" s="433"/>
      <c r="D26" s="48"/>
      <c r="E26" s="44"/>
      <c r="F26" s="44"/>
      <c r="G26" s="44"/>
      <c r="H26" s="434" t="s">
        <v>354</v>
      </c>
      <c r="I26" s="434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8" x14ac:dyDescent="0.2">
      <c r="A27" s="435" t="s">
        <v>143</v>
      </c>
      <c r="B27" s="435"/>
      <c r="C27" s="435"/>
      <c r="D27" s="48"/>
      <c r="E27" s="42"/>
      <c r="F27" s="42"/>
      <c r="G27" s="42"/>
      <c r="H27" s="435" t="s">
        <v>108</v>
      </c>
      <c r="I27" s="435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8" x14ac:dyDescent="0.2">
      <c r="A28" s="52"/>
      <c r="B28" s="52"/>
      <c r="C28" s="48"/>
      <c r="D28" s="60"/>
      <c r="E28" s="52"/>
      <c r="F28" s="52"/>
      <c r="G28" s="52"/>
      <c r="H28" s="270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8" x14ac:dyDescent="0.2">
      <c r="A29" s="52"/>
      <c r="B29" s="52"/>
      <c r="C29" s="48"/>
      <c r="D29" s="60"/>
      <c r="E29" s="52"/>
      <c r="F29" s="52"/>
      <c r="G29" s="52"/>
      <c r="H29" s="270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8" x14ac:dyDescent="0.2">
      <c r="A30" s="52"/>
      <c r="B30" s="52"/>
      <c r="C30" s="48"/>
      <c r="D30" s="60"/>
      <c r="E30" s="52"/>
      <c r="F30" s="52"/>
      <c r="G30" s="52"/>
      <c r="H30" s="270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8" ht="15" customHeight="1" x14ac:dyDescent="0.2">
      <c r="A31" s="52"/>
      <c r="B31" s="52"/>
      <c r="C31" s="48"/>
      <c r="D31" s="60"/>
      <c r="E31" s="52"/>
      <c r="F31" s="52"/>
      <c r="G31" s="52"/>
      <c r="H31" s="270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8" ht="15" customHeight="1" x14ac:dyDescent="0.2">
      <c r="A32" s="52"/>
      <c r="B32" s="52"/>
      <c r="C32" s="48"/>
      <c r="D32" s="60"/>
      <c r="E32" s="52"/>
      <c r="F32" s="52"/>
      <c r="G32" s="52"/>
      <c r="H32" s="270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0.25" customHeight="1" x14ac:dyDescent="0.2">
      <c r="A33" s="52"/>
      <c r="B33" s="52"/>
      <c r="C33" s="48"/>
      <c r="D33" s="60"/>
      <c r="E33" s="52"/>
      <c r="F33" s="52"/>
      <c r="G33" s="52"/>
      <c r="H33" s="270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x14ac:dyDescent="0.2">
      <c r="A34" s="52"/>
      <c r="B34" s="52"/>
      <c r="C34" s="48"/>
      <c r="D34" s="60"/>
      <c r="E34" s="52"/>
      <c r="F34" s="52"/>
      <c r="G34" s="52"/>
      <c r="H34" s="270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idden="1" x14ac:dyDescent="0.2">
      <c r="A35" s="52"/>
      <c r="B35" s="52"/>
      <c r="C35" s="48"/>
      <c r="D35" s="60"/>
      <c r="E35" s="52"/>
      <c r="F35" s="52"/>
      <c r="G35" s="52"/>
      <c r="H35" s="27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idden="1" x14ac:dyDescent="0.2">
      <c r="A36" s="52"/>
      <c r="B36" s="52"/>
      <c r="C36" s="48"/>
      <c r="D36" s="60"/>
      <c r="E36" s="52"/>
      <c r="F36" s="52"/>
      <c r="G36" s="52"/>
      <c r="H36" s="270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idden="1" x14ac:dyDescent="0.2">
      <c r="A37" s="52"/>
      <c r="B37" s="52"/>
      <c r="C37" s="48"/>
      <c r="D37" s="60"/>
      <c r="E37" s="52"/>
      <c r="F37" s="52" t="s">
        <v>97</v>
      </c>
      <c r="G37" s="52"/>
      <c r="H37" s="270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idden="1" x14ac:dyDescent="0.2">
      <c r="A38" s="52"/>
      <c r="B38" s="52"/>
      <c r="C38" s="48"/>
      <c r="D38" s="60"/>
      <c r="E38" s="52"/>
      <c r="F38" s="52" t="s">
        <v>98</v>
      </c>
      <c r="G38" s="52"/>
      <c r="H38" s="270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idden="1" x14ac:dyDescent="0.2">
      <c r="A39" s="52"/>
      <c r="B39" s="52"/>
      <c r="C39" s="48"/>
      <c r="D39" s="60"/>
      <c r="E39" s="52"/>
      <c r="F39" s="52"/>
      <c r="G39" s="52"/>
      <c r="H39" s="270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idden="1" x14ac:dyDescent="0.2">
      <c r="A40" s="52"/>
      <c r="B40" s="52"/>
      <c r="C40" s="48"/>
      <c r="D40" s="60"/>
      <c r="E40" s="52"/>
      <c r="F40" s="52"/>
      <c r="G40" s="52"/>
      <c r="H40" s="270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idden="1" x14ac:dyDescent="0.2">
      <c r="A41" s="52"/>
      <c r="B41" s="52"/>
      <c r="C41" s="48"/>
      <c r="D41" s="60"/>
      <c r="E41" s="52"/>
      <c r="F41" s="52"/>
      <c r="G41" s="52"/>
      <c r="H41" s="270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x14ac:dyDescent="0.2">
      <c r="A42" s="52"/>
      <c r="B42" s="52"/>
      <c r="C42" s="60"/>
      <c r="D42" s="60"/>
      <c r="E42" s="45"/>
      <c r="F42" s="52"/>
      <c r="G42" s="45"/>
      <c r="H42" s="270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x14ac:dyDescent="0.2">
      <c r="A43" s="52"/>
      <c r="B43" s="52"/>
      <c r="C43" s="60"/>
      <c r="D43" s="60"/>
      <c r="E43" s="52"/>
      <c r="F43" s="52"/>
      <c r="G43" s="52"/>
      <c r="H43" s="270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x14ac:dyDescent="0.2">
      <c r="A44" s="436" t="s">
        <v>138</v>
      </c>
      <c r="B44" s="436"/>
      <c r="C44" s="436"/>
      <c r="D44" s="436"/>
      <c r="E44" s="436"/>
      <c r="F44" s="436"/>
      <c r="G44" s="436"/>
      <c r="H44" s="436"/>
      <c r="I44" s="436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x14ac:dyDescent="0.2">
      <c r="A45" s="446" t="s">
        <v>488</v>
      </c>
      <c r="B45" s="446"/>
      <c r="C45" s="446"/>
      <c r="D45" s="446"/>
      <c r="E45" s="446"/>
      <c r="F45" s="446"/>
      <c r="G45" s="446"/>
      <c r="H45" s="446"/>
      <c r="I45" s="44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x14ac:dyDescent="0.2">
      <c r="A46" s="61"/>
      <c r="B46" s="61"/>
      <c r="C46" s="62"/>
      <c r="D46" s="62"/>
      <c r="E46" s="61"/>
      <c r="F46" s="244" t="s">
        <v>149</v>
      </c>
      <c r="G46" s="244" t="s">
        <v>1</v>
      </c>
      <c r="H46" s="271" t="s">
        <v>385</v>
      </c>
      <c r="I46" s="447" t="s">
        <v>399</v>
      </c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x14ac:dyDescent="0.2">
      <c r="A47" s="56" t="s">
        <v>150</v>
      </c>
      <c r="B47" s="56" t="s">
        <v>448</v>
      </c>
      <c r="C47" s="57" t="s">
        <v>14</v>
      </c>
      <c r="D47" s="57" t="s">
        <v>28</v>
      </c>
      <c r="E47" s="56" t="s">
        <v>105</v>
      </c>
      <c r="F47" s="243" t="s">
        <v>15</v>
      </c>
      <c r="G47" s="56" t="s">
        <v>16</v>
      </c>
      <c r="H47" s="272" t="s">
        <v>398</v>
      </c>
      <c r="I47" s="448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x14ac:dyDescent="0.2">
      <c r="A48" s="58"/>
      <c r="B48" s="58"/>
      <c r="C48" s="59"/>
      <c r="D48" s="59"/>
      <c r="E48" s="58"/>
      <c r="F48" s="58"/>
      <c r="G48" s="58"/>
      <c r="H48" s="273" t="s">
        <v>397</v>
      </c>
      <c r="I48" s="449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ht="25.5" x14ac:dyDescent="0.2">
      <c r="A49" s="348">
        <v>1</v>
      </c>
      <c r="B49" s="348" t="s">
        <v>448</v>
      </c>
      <c r="C49" s="339" t="s">
        <v>326</v>
      </c>
      <c r="D49" s="349" t="s">
        <v>139</v>
      </c>
      <c r="E49" s="350"/>
      <c r="F49" s="350">
        <v>15</v>
      </c>
      <c r="G49" s="351">
        <f>H49/F49</f>
        <v>100</v>
      </c>
      <c r="H49" s="352">
        <v>1500</v>
      </c>
      <c r="I49" s="24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ht="25.5" x14ac:dyDescent="0.2">
      <c r="A50" s="348">
        <v>2</v>
      </c>
      <c r="B50" s="348" t="s">
        <v>448</v>
      </c>
      <c r="C50" s="339" t="s">
        <v>446</v>
      </c>
      <c r="D50" s="349" t="s">
        <v>447</v>
      </c>
      <c r="E50" s="350"/>
      <c r="F50" s="350">
        <v>15</v>
      </c>
      <c r="G50" s="351">
        <f>H50/F50</f>
        <v>129.80000000000001</v>
      </c>
      <c r="H50" s="352">
        <v>1947</v>
      </c>
      <c r="I50" s="24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5" customFormat="1" ht="21.75" customHeight="1" x14ac:dyDescent="0.2">
      <c r="A51" s="348">
        <v>3</v>
      </c>
      <c r="B51" s="348" t="s">
        <v>448</v>
      </c>
      <c r="C51" s="339" t="s">
        <v>327</v>
      </c>
      <c r="D51" s="350" t="s">
        <v>114</v>
      </c>
      <c r="E51" s="350"/>
      <c r="F51" s="350">
        <v>15</v>
      </c>
      <c r="G51" s="351">
        <v>100</v>
      </c>
      <c r="H51" s="352">
        <v>1500</v>
      </c>
      <c r="I51" s="240"/>
      <c r="J51" s="236"/>
      <c r="K51" s="236"/>
      <c r="L51" s="236"/>
      <c r="M51" s="236"/>
      <c r="N51" s="236"/>
      <c r="O51" s="234"/>
      <c r="P51" s="239"/>
      <c r="Q51" s="234"/>
      <c r="R51" s="234"/>
      <c r="S51" s="234"/>
      <c r="T51" s="234"/>
      <c r="U51" s="238"/>
      <c r="V51" s="234"/>
      <c r="W51" s="234"/>
      <c r="X51" s="234"/>
      <c r="Y51" s="234"/>
      <c r="Z51" s="234"/>
      <c r="AA51" s="237"/>
      <c r="AB51" s="234"/>
      <c r="AC51" s="234"/>
      <c r="AD51" s="234"/>
      <c r="AE51" s="236"/>
      <c r="AF51" s="236"/>
      <c r="AG51" s="235"/>
      <c r="AH51" s="234"/>
      <c r="AI51" s="234">
        <v>2000</v>
      </c>
      <c r="AJ51" s="241"/>
      <c r="AK51" s="52"/>
    </row>
    <row r="52" spans="1:37" s="5" customFormat="1" ht="26.25" customHeight="1" x14ac:dyDescent="0.2">
      <c r="A52" s="348">
        <v>4</v>
      </c>
      <c r="B52" s="348" t="s">
        <v>448</v>
      </c>
      <c r="C52" s="339" t="s">
        <v>328</v>
      </c>
      <c r="D52" s="349" t="s">
        <v>145</v>
      </c>
      <c r="E52" s="350"/>
      <c r="F52" s="350">
        <v>15</v>
      </c>
      <c r="G52" s="351">
        <v>105.33</v>
      </c>
      <c r="H52" s="352">
        <v>1580</v>
      </c>
      <c r="I52" s="240"/>
      <c r="J52" s="236"/>
      <c r="K52" s="236"/>
      <c r="L52" s="236"/>
      <c r="M52" s="236"/>
      <c r="N52" s="236"/>
      <c r="O52" s="234"/>
      <c r="P52" s="239"/>
      <c r="Q52" s="234"/>
      <c r="R52" s="234"/>
      <c r="S52" s="234"/>
      <c r="T52" s="234"/>
      <c r="U52" s="238"/>
      <c r="V52" s="234"/>
      <c r="W52" s="234"/>
      <c r="X52" s="234"/>
      <c r="Y52" s="234"/>
      <c r="Z52" s="234"/>
      <c r="AA52" s="237"/>
      <c r="AB52" s="234"/>
      <c r="AC52" s="234"/>
      <c r="AD52" s="234"/>
      <c r="AE52" s="236"/>
      <c r="AF52" s="236"/>
      <c r="AG52" s="235"/>
      <c r="AH52" s="234"/>
      <c r="AI52" s="234">
        <v>1800</v>
      </c>
      <c r="AJ52" s="234"/>
      <c r="AK52" s="52"/>
    </row>
    <row r="53" spans="1:37" s="5" customFormat="1" ht="38.25" x14ac:dyDescent="0.2">
      <c r="A53" s="348">
        <v>5</v>
      </c>
      <c r="B53" s="348" t="s">
        <v>448</v>
      </c>
      <c r="C53" s="339" t="s">
        <v>190</v>
      </c>
      <c r="D53" s="349" t="s">
        <v>183</v>
      </c>
      <c r="E53" s="350"/>
      <c r="F53" s="350">
        <v>15</v>
      </c>
      <c r="G53" s="351">
        <f>H53/F53</f>
        <v>80</v>
      </c>
      <c r="H53" s="352">
        <v>1200</v>
      </c>
      <c r="I53" s="240"/>
      <c r="J53" s="236"/>
      <c r="K53" s="236"/>
      <c r="L53" s="236"/>
      <c r="M53" s="236"/>
      <c r="N53" s="236"/>
      <c r="O53" s="234"/>
      <c r="P53" s="239"/>
      <c r="Q53" s="234"/>
      <c r="R53" s="234"/>
      <c r="S53" s="234"/>
      <c r="T53" s="234"/>
      <c r="U53" s="238"/>
      <c r="V53" s="234"/>
      <c r="W53" s="234"/>
      <c r="X53" s="234"/>
      <c r="Y53" s="234"/>
      <c r="Z53" s="234"/>
      <c r="AA53" s="237"/>
      <c r="AB53" s="234"/>
      <c r="AC53" s="234"/>
      <c r="AD53" s="234"/>
      <c r="AE53" s="236"/>
      <c r="AF53" s="236"/>
      <c r="AG53" s="235"/>
      <c r="AH53" s="234"/>
      <c r="AI53" s="234"/>
      <c r="AJ53" s="234"/>
      <c r="AK53" s="52"/>
    </row>
    <row r="54" spans="1:37" ht="26.25" customHeight="1" thickBot="1" x14ac:dyDescent="0.25">
      <c r="A54" s="450" t="s">
        <v>17</v>
      </c>
      <c r="B54" s="383"/>
      <c r="C54" s="383"/>
      <c r="D54" s="383"/>
      <c r="E54" s="383"/>
      <c r="F54" s="383"/>
      <c r="G54" s="66"/>
      <c r="H54" s="274">
        <f>SUM(H49:H53)</f>
        <v>7727</v>
      </c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ht="13.5" thickTop="1" x14ac:dyDescent="0.2">
      <c r="A55" s="52"/>
      <c r="B55" s="52"/>
      <c r="C55" s="60"/>
      <c r="D55" s="60"/>
      <c r="E55" s="52"/>
      <c r="F55" s="52"/>
      <c r="G55" s="52"/>
      <c r="H55" s="270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x14ac:dyDescent="0.2">
      <c r="A56" s="52"/>
      <c r="B56" s="52"/>
      <c r="C56" s="60"/>
      <c r="D56" s="60"/>
      <c r="E56" s="52"/>
      <c r="F56" s="52"/>
      <c r="G56" s="52"/>
      <c r="H56" s="270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x14ac:dyDescent="0.2">
      <c r="A57" s="52"/>
      <c r="B57" s="52"/>
      <c r="C57" s="60"/>
      <c r="D57" s="60"/>
      <c r="E57" s="52"/>
      <c r="F57" s="52"/>
      <c r="G57" s="52"/>
      <c r="H57" s="270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ht="13.5" thickBot="1" x14ac:dyDescent="0.25">
      <c r="A58" s="63"/>
      <c r="B58" s="63"/>
      <c r="C58" s="64"/>
      <c r="D58" s="64"/>
      <c r="E58" s="52"/>
      <c r="F58" s="52"/>
      <c r="G58" s="52"/>
      <c r="H58" s="270"/>
      <c r="I58" s="63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63"/>
    </row>
    <row r="59" spans="1:37" ht="15" customHeight="1" x14ac:dyDescent="0.2">
      <c r="A59" s="435" t="s">
        <v>153</v>
      </c>
      <c r="B59" s="435"/>
      <c r="C59" s="435"/>
      <c r="D59" s="435"/>
      <c r="E59" s="52"/>
      <c r="F59" s="52"/>
      <c r="G59" s="52"/>
      <c r="H59" s="270"/>
      <c r="I59" s="451" t="s">
        <v>396</v>
      </c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</row>
    <row r="60" spans="1:37" ht="20.25" customHeight="1" x14ac:dyDescent="0.2">
      <c r="A60" s="441" t="s">
        <v>143</v>
      </c>
      <c r="B60" s="441"/>
      <c r="C60" s="441"/>
      <c r="D60" s="441"/>
      <c r="E60" s="52"/>
      <c r="F60" s="52"/>
      <c r="G60" s="52"/>
      <c r="H60" s="270"/>
      <c r="I60" s="442" t="s">
        <v>108</v>
      </c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</row>
    <row r="61" spans="1:37" x14ac:dyDescent="0.2">
      <c r="C61" s="38"/>
      <c r="E61" s="5"/>
      <c r="F61" s="5"/>
      <c r="G61" s="5"/>
      <c r="I61" s="5"/>
      <c r="J61" s="5"/>
    </row>
    <row r="62" spans="1:37" x14ac:dyDescent="0.2">
      <c r="C62" s="38"/>
      <c r="E62" s="5"/>
      <c r="F62" s="5"/>
      <c r="G62" s="5"/>
      <c r="I62" s="5"/>
      <c r="J62" s="5"/>
    </row>
    <row r="63" spans="1:37" ht="15.75" x14ac:dyDescent="0.25">
      <c r="C63" s="38"/>
      <c r="D63" s="39"/>
      <c r="E63" s="5"/>
      <c r="F63" s="5"/>
      <c r="G63" s="5"/>
      <c r="I63" s="5"/>
      <c r="J63" s="233"/>
    </row>
    <row r="64" spans="1:37" ht="15.75" x14ac:dyDescent="0.25">
      <c r="C64" s="38"/>
      <c r="D64" s="39"/>
      <c r="E64" s="5"/>
      <c r="F64" s="5"/>
      <c r="G64" s="5"/>
      <c r="I64" s="5"/>
      <c r="J64" s="233"/>
    </row>
    <row r="65" spans="3:10" ht="15.75" x14ac:dyDescent="0.25">
      <c r="C65" s="38"/>
      <c r="D65" s="39"/>
      <c r="E65" s="5"/>
      <c r="F65" s="5"/>
      <c r="G65" s="5"/>
      <c r="I65" s="5"/>
      <c r="J65" s="233"/>
    </row>
    <row r="66" spans="3:10" ht="15.75" x14ac:dyDescent="0.25">
      <c r="C66" s="38"/>
      <c r="D66" s="39"/>
      <c r="E66" s="5"/>
      <c r="F66" s="5" t="s">
        <v>97</v>
      </c>
      <c r="G66" s="5" t="s">
        <v>97</v>
      </c>
      <c r="H66" s="275">
        <f>SUM(H49:H53)</f>
        <v>7727</v>
      </c>
      <c r="I66" s="5"/>
      <c r="J66" s="233"/>
    </row>
    <row r="69" spans="3:10" x14ac:dyDescent="0.2">
      <c r="F69" t="s">
        <v>385</v>
      </c>
      <c r="H69" s="27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70866141732283472" right="0.70866141732283472" top="0.74803149606299213" bottom="0.55118110236220474" header="0.31496062992125984" footer="0.31496062992125984"/>
  <pageSetup paperSize="9" scale="84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9"/>
  <sheetViews>
    <sheetView showGridLines="0" zoomScale="84" zoomScaleNormal="84" workbookViewId="0">
      <selection activeCell="F8" sqref="F8:F33"/>
    </sheetView>
  </sheetViews>
  <sheetFormatPr baseColWidth="10" defaultColWidth="11.42578125" defaultRowHeight="14.25" x14ac:dyDescent="0.2"/>
  <cols>
    <col min="1" max="1" width="2.7109375" style="29" customWidth="1"/>
    <col min="2" max="3" width="4.5703125" style="29" customWidth="1"/>
    <col min="4" max="4" width="38.85546875" style="87" bestFit="1" customWidth="1"/>
    <col min="5" max="5" width="14.42578125" style="8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217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29"/>
  </cols>
  <sheetData>
    <row r="1" spans="1:14" x14ac:dyDescent="0.2">
      <c r="B1" s="179"/>
      <c r="C1" s="285"/>
      <c r="D1" s="180"/>
      <c r="E1" s="181"/>
      <c r="F1" s="182"/>
      <c r="G1" s="182"/>
      <c r="H1" s="182"/>
      <c r="I1" s="182"/>
      <c r="J1" s="225"/>
      <c r="K1" s="182"/>
      <c r="L1" s="182"/>
      <c r="M1" s="182"/>
      <c r="N1" s="183"/>
    </row>
    <row r="2" spans="1:14" ht="36" customHeight="1" x14ac:dyDescent="0.2">
      <c r="B2" s="184"/>
      <c r="C2" s="286"/>
      <c r="E2" s="385" t="s">
        <v>378</v>
      </c>
      <c r="F2" s="385"/>
      <c r="G2" s="385"/>
      <c r="H2" s="385"/>
      <c r="I2" s="385"/>
      <c r="J2" s="385"/>
      <c r="K2" s="385"/>
      <c r="L2" s="185"/>
      <c r="M2" s="185"/>
      <c r="N2" s="186"/>
    </row>
    <row r="3" spans="1:14" x14ac:dyDescent="0.2">
      <c r="B3" s="184"/>
      <c r="C3" s="286"/>
      <c r="E3" s="187"/>
      <c r="F3" s="185"/>
      <c r="G3" s="185"/>
      <c r="H3" s="185"/>
      <c r="I3" s="185"/>
      <c r="J3" s="226"/>
      <c r="K3" s="185"/>
      <c r="L3" s="185"/>
      <c r="M3" s="185"/>
      <c r="N3" s="186"/>
    </row>
    <row r="4" spans="1:14" x14ac:dyDescent="0.2">
      <c r="B4" s="184"/>
      <c r="C4" s="286"/>
      <c r="E4" s="187"/>
      <c r="F4" s="185"/>
      <c r="G4" s="185"/>
      <c r="H4" s="185"/>
      <c r="I4" s="185"/>
      <c r="J4" s="226"/>
      <c r="K4" s="185"/>
      <c r="L4" s="185"/>
      <c r="M4" s="185"/>
      <c r="N4" s="186"/>
    </row>
    <row r="5" spans="1:14" ht="28.5" customHeight="1" x14ac:dyDescent="0.2">
      <c r="B5" s="188"/>
      <c r="C5" s="42"/>
      <c r="E5" s="385" t="s">
        <v>175</v>
      </c>
      <c r="F5" s="385"/>
      <c r="G5" s="385"/>
      <c r="H5" s="385"/>
      <c r="I5" s="385"/>
      <c r="J5" s="385"/>
      <c r="K5" s="385"/>
      <c r="L5" s="387"/>
      <c r="M5" s="387"/>
      <c r="N5" s="388"/>
    </row>
    <row r="6" spans="1:14" ht="31.5" customHeight="1" thickBot="1" x14ac:dyDescent="0.25">
      <c r="B6" s="189"/>
      <c r="C6" s="42"/>
      <c r="D6" s="463" t="s">
        <v>489</v>
      </c>
      <c r="E6" s="463"/>
      <c r="F6" s="463"/>
      <c r="G6" s="463"/>
      <c r="H6" s="463"/>
      <c r="I6" s="463"/>
      <c r="J6" s="463"/>
      <c r="K6" s="463"/>
      <c r="L6" s="190"/>
      <c r="M6" s="190"/>
      <c r="N6" s="191"/>
    </row>
    <row r="7" spans="1:14" s="28" customFormat="1" ht="37.5" customHeight="1" x14ac:dyDescent="0.2">
      <c r="A7" s="29"/>
      <c r="B7" s="153" t="s">
        <v>370</v>
      </c>
      <c r="C7" s="287" t="s">
        <v>448</v>
      </c>
      <c r="D7" s="154" t="s">
        <v>14</v>
      </c>
      <c r="E7" s="154" t="s">
        <v>363</v>
      </c>
      <c r="F7" s="154" t="s">
        <v>364</v>
      </c>
      <c r="G7" s="154" t="s">
        <v>367</v>
      </c>
      <c r="H7" s="154" t="s">
        <v>369</v>
      </c>
      <c r="I7" s="155" t="s">
        <v>365</v>
      </c>
      <c r="J7" s="227" t="s">
        <v>390</v>
      </c>
      <c r="K7" s="154" t="s">
        <v>391</v>
      </c>
      <c r="L7" s="156" t="s">
        <v>366</v>
      </c>
      <c r="M7" s="156" t="s">
        <v>377</v>
      </c>
      <c r="N7" s="172" t="s">
        <v>376</v>
      </c>
    </row>
    <row r="8" spans="1:14" s="28" customFormat="1" ht="30" customHeight="1" x14ac:dyDescent="0.2">
      <c r="A8" s="29"/>
      <c r="B8" s="353">
        <v>1</v>
      </c>
      <c r="C8" s="354" t="s">
        <v>448</v>
      </c>
      <c r="D8" s="355" t="s">
        <v>200</v>
      </c>
      <c r="E8" s="143" t="s">
        <v>36</v>
      </c>
      <c r="F8" s="148"/>
      <c r="G8" s="77">
        <v>15</v>
      </c>
      <c r="H8" s="356">
        <v>613.53300000000002</v>
      </c>
      <c r="I8" s="78">
        <f>ROUND(G8*H8,2)</f>
        <v>9203</v>
      </c>
      <c r="J8" s="229">
        <f t="shared" ref="J8:J33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79">
        <f t="shared" ref="K8:K33" si="1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1142.74</v>
      </c>
      <c r="L8" s="79">
        <f>K8</f>
        <v>1142.74</v>
      </c>
      <c r="M8" s="79">
        <f>I8+J8-L8</f>
        <v>8060.26</v>
      </c>
      <c r="N8" s="192"/>
    </row>
    <row r="9" spans="1:14" s="28" customFormat="1" ht="30" customHeight="1" x14ac:dyDescent="0.2">
      <c r="A9" s="29"/>
      <c r="B9" s="353">
        <v>2</v>
      </c>
      <c r="C9" s="354"/>
      <c r="D9" s="355" t="s">
        <v>201</v>
      </c>
      <c r="E9" s="143" t="s">
        <v>188</v>
      </c>
      <c r="F9" s="148"/>
      <c r="G9" s="77">
        <v>15</v>
      </c>
      <c r="H9" s="356">
        <v>453.33330000000001</v>
      </c>
      <c r="I9" s="78">
        <f t="shared" ref="I9:I21" si="2">ROUND(G9*H9,2)</f>
        <v>6800</v>
      </c>
      <c r="J9" s="229">
        <f t="shared" si="0"/>
        <v>0</v>
      </c>
      <c r="K9" s="79">
        <f t="shared" si="1"/>
        <v>658.42</v>
      </c>
      <c r="L9" s="79">
        <f t="shared" ref="L9:L33" si="3">K9</f>
        <v>658.42</v>
      </c>
      <c r="M9" s="79">
        <f t="shared" ref="M9:M33" si="4">I9+J9-L9</f>
        <v>6141.58</v>
      </c>
      <c r="N9" s="192"/>
    </row>
    <row r="10" spans="1:14" s="30" customFormat="1" ht="30" customHeight="1" x14ac:dyDescent="0.2">
      <c r="A10" s="5"/>
      <c r="B10" s="353">
        <v>3</v>
      </c>
      <c r="C10" s="354"/>
      <c r="D10" s="355" t="s">
        <v>209</v>
      </c>
      <c r="E10" s="143" t="s">
        <v>70</v>
      </c>
      <c r="F10" s="148"/>
      <c r="G10" s="77">
        <v>15</v>
      </c>
      <c r="H10" s="356">
        <v>326.93299999999999</v>
      </c>
      <c r="I10" s="78">
        <f t="shared" si="2"/>
        <v>4904</v>
      </c>
      <c r="J10" s="229">
        <f t="shared" si="0"/>
        <v>0</v>
      </c>
      <c r="K10" s="79">
        <f t="shared" si="1"/>
        <v>377.09</v>
      </c>
      <c r="L10" s="79">
        <f t="shared" si="3"/>
        <v>377.09</v>
      </c>
      <c r="M10" s="79">
        <f t="shared" si="4"/>
        <v>4526.91</v>
      </c>
      <c r="N10" s="192"/>
    </row>
    <row r="11" spans="1:14" s="30" customFormat="1" ht="30" customHeight="1" x14ac:dyDescent="0.2">
      <c r="A11" s="5"/>
      <c r="B11" s="353">
        <v>4</v>
      </c>
      <c r="C11" s="354" t="s">
        <v>448</v>
      </c>
      <c r="D11" s="355" t="s">
        <v>204</v>
      </c>
      <c r="E11" s="143" t="s">
        <v>192</v>
      </c>
      <c r="F11" s="148"/>
      <c r="G11" s="77">
        <v>15</v>
      </c>
      <c r="H11" s="356">
        <v>378.6</v>
      </c>
      <c r="I11" s="78">
        <f>ROUND(G11*H11,2)</f>
        <v>5679</v>
      </c>
      <c r="J11" s="229">
        <f t="shared" si="0"/>
        <v>0</v>
      </c>
      <c r="K11" s="79">
        <f t="shared" si="1"/>
        <v>471.05</v>
      </c>
      <c r="L11" s="79">
        <f t="shared" si="3"/>
        <v>471.05</v>
      </c>
      <c r="M11" s="79">
        <f t="shared" si="4"/>
        <v>5207.95</v>
      </c>
      <c r="N11" s="192"/>
    </row>
    <row r="12" spans="1:14" s="28" customFormat="1" ht="30" customHeight="1" x14ac:dyDescent="0.2">
      <c r="A12" s="29"/>
      <c r="B12" s="353">
        <v>5</v>
      </c>
      <c r="C12" s="354"/>
      <c r="D12" s="355" t="s">
        <v>202</v>
      </c>
      <c r="E12" s="143" t="s">
        <v>70</v>
      </c>
      <c r="F12" s="148"/>
      <c r="G12" s="77">
        <v>15</v>
      </c>
      <c r="H12" s="356">
        <v>326.93299999999999</v>
      </c>
      <c r="I12" s="78">
        <f t="shared" si="2"/>
        <v>4904</v>
      </c>
      <c r="J12" s="229">
        <f t="shared" si="0"/>
        <v>0</v>
      </c>
      <c r="K12" s="79">
        <f t="shared" si="1"/>
        <v>377.09</v>
      </c>
      <c r="L12" s="79">
        <f t="shared" si="3"/>
        <v>377.09</v>
      </c>
      <c r="M12" s="79">
        <f t="shared" si="4"/>
        <v>4526.91</v>
      </c>
      <c r="N12" s="192"/>
    </row>
    <row r="13" spans="1:14" s="28" customFormat="1" ht="30" customHeight="1" x14ac:dyDescent="0.2">
      <c r="A13" s="29"/>
      <c r="B13" s="353">
        <v>6</v>
      </c>
      <c r="C13" s="354" t="s">
        <v>448</v>
      </c>
      <c r="D13" s="355" t="s">
        <v>203</v>
      </c>
      <c r="E13" s="143" t="s">
        <v>70</v>
      </c>
      <c r="F13" s="148"/>
      <c r="G13" s="77">
        <v>15</v>
      </c>
      <c r="H13" s="356">
        <v>326.93299999999999</v>
      </c>
      <c r="I13" s="78">
        <f t="shared" si="2"/>
        <v>4904</v>
      </c>
      <c r="J13" s="229">
        <f t="shared" si="0"/>
        <v>0</v>
      </c>
      <c r="K13" s="79">
        <f t="shared" si="1"/>
        <v>377.09</v>
      </c>
      <c r="L13" s="79">
        <f t="shared" si="3"/>
        <v>377.09</v>
      </c>
      <c r="M13" s="79">
        <f t="shared" si="4"/>
        <v>4526.91</v>
      </c>
      <c r="N13" s="192"/>
    </row>
    <row r="14" spans="1:14" s="98" customFormat="1" ht="30" customHeight="1" x14ac:dyDescent="0.2">
      <c r="A14" s="5"/>
      <c r="B14" s="353">
        <v>7</v>
      </c>
      <c r="C14" s="354" t="s">
        <v>448</v>
      </c>
      <c r="D14" s="355" t="s">
        <v>205</v>
      </c>
      <c r="E14" s="143" t="s">
        <v>192</v>
      </c>
      <c r="F14" s="148"/>
      <c r="G14" s="77">
        <v>15</v>
      </c>
      <c r="H14" s="356">
        <v>378.6</v>
      </c>
      <c r="I14" s="78">
        <f>ROUND(G14*H14,2)</f>
        <v>5679</v>
      </c>
      <c r="J14" s="229">
        <f t="shared" si="0"/>
        <v>0</v>
      </c>
      <c r="K14" s="79">
        <f t="shared" si="1"/>
        <v>471.05</v>
      </c>
      <c r="L14" s="79">
        <f t="shared" si="3"/>
        <v>471.05</v>
      </c>
      <c r="M14" s="79">
        <f t="shared" si="4"/>
        <v>5207.95</v>
      </c>
      <c r="N14" s="192"/>
    </row>
    <row r="15" spans="1:14" ht="30" customHeight="1" x14ac:dyDescent="0.2">
      <c r="B15" s="353">
        <v>8</v>
      </c>
      <c r="C15" s="354" t="s">
        <v>448</v>
      </c>
      <c r="D15" s="355" t="s">
        <v>206</v>
      </c>
      <c r="E15" s="143" t="s">
        <v>70</v>
      </c>
      <c r="F15" s="148"/>
      <c r="G15" s="77">
        <v>15</v>
      </c>
      <c r="H15" s="356">
        <v>326.93299999999999</v>
      </c>
      <c r="I15" s="78">
        <f t="shared" si="2"/>
        <v>4904</v>
      </c>
      <c r="J15" s="229">
        <f t="shared" si="0"/>
        <v>0</v>
      </c>
      <c r="K15" s="79">
        <f t="shared" si="1"/>
        <v>377.09</v>
      </c>
      <c r="L15" s="79">
        <f t="shared" si="3"/>
        <v>377.09</v>
      </c>
      <c r="M15" s="79">
        <f t="shared" si="4"/>
        <v>4526.91</v>
      </c>
      <c r="N15" s="192"/>
    </row>
    <row r="16" spans="1:14" ht="30" customHeight="1" x14ac:dyDescent="0.2">
      <c r="B16" s="353">
        <v>9</v>
      </c>
      <c r="C16" s="354"/>
      <c r="D16" s="355" t="s">
        <v>170</v>
      </c>
      <c r="E16" s="143" t="s">
        <v>70</v>
      </c>
      <c r="F16" s="148"/>
      <c r="G16" s="77">
        <v>15</v>
      </c>
      <c r="H16" s="356">
        <v>326.93299999999999</v>
      </c>
      <c r="I16" s="78">
        <f t="shared" si="2"/>
        <v>4904</v>
      </c>
      <c r="J16" s="229">
        <f t="shared" si="0"/>
        <v>0</v>
      </c>
      <c r="K16" s="79">
        <f t="shared" si="1"/>
        <v>377.09</v>
      </c>
      <c r="L16" s="79">
        <f t="shared" si="3"/>
        <v>377.09</v>
      </c>
      <c r="M16" s="79">
        <f t="shared" si="4"/>
        <v>4526.91</v>
      </c>
      <c r="N16" s="192"/>
    </row>
    <row r="17" spans="1:14" s="30" customFormat="1" ht="30" customHeight="1" x14ac:dyDescent="0.2">
      <c r="A17" s="5"/>
      <c r="B17" s="353">
        <v>10</v>
      </c>
      <c r="C17" s="354" t="s">
        <v>448</v>
      </c>
      <c r="D17" s="355" t="s">
        <v>470</v>
      </c>
      <c r="E17" s="143" t="s">
        <v>70</v>
      </c>
      <c r="F17" s="148"/>
      <c r="G17" s="77">
        <v>15</v>
      </c>
      <c r="H17" s="356">
        <v>326.93</v>
      </c>
      <c r="I17" s="78">
        <f t="shared" si="2"/>
        <v>4903.95</v>
      </c>
      <c r="J17" s="229">
        <f t="shared" si="0"/>
        <v>0</v>
      </c>
      <c r="K17" s="79">
        <f t="shared" si="1"/>
        <v>377.09</v>
      </c>
      <c r="L17" s="79">
        <f t="shared" si="3"/>
        <v>377.09</v>
      </c>
      <c r="M17" s="79">
        <f t="shared" si="4"/>
        <v>4526.8599999999997</v>
      </c>
      <c r="N17" s="192"/>
    </row>
    <row r="18" spans="1:14" s="30" customFormat="1" ht="30" customHeight="1" x14ac:dyDescent="0.2">
      <c r="A18" s="5"/>
      <c r="B18" s="353">
        <v>11</v>
      </c>
      <c r="C18" s="354" t="s">
        <v>448</v>
      </c>
      <c r="D18" s="355" t="s">
        <v>184</v>
      </c>
      <c r="E18" s="143" t="s">
        <v>70</v>
      </c>
      <c r="F18" s="148"/>
      <c r="G18" s="77">
        <v>15</v>
      </c>
      <c r="H18" s="356">
        <v>326.93299999999999</v>
      </c>
      <c r="I18" s="78">
        <f t="shared" si="2"/>
        <v>4904</v>
      </c>
      <c r="J18" s="229">
        <f t="shared" si="0"/>
        <v>0</v>
      </c>
      <c r="K18" s="79">
        <f t="shared" si="1"/>
        <v>377.09</v>
      </c>
      <c r="L18" s="79">
        <f t="shared" si="3"/>
        <v>377.09</v>
      </c>
      <c r="M18" s="79">
        <f t="shared" si="4"/>
        <v>4526.91</v>
      </c>
      <c r="N18" s="192"/>
    </row>
    <row r="19" spans="1:14" s="30" customFormat="1" ht="30" customHeight="1" x14ac:dyDescent="0.2">
      <c r="A19" s="5"/>
      <c r="B19" s="353">
        <v>12</v>
      </c>
      <c r="C19" s="354" t="s">
        <v>448</v>
      </c>
      <c r="D19" s="355" t="s">
        <v>207</v>
      </c>
      <c r="E19" s="143" t="s">
        <v>179</v>
      </c>
      <c r="F19" s="144"/>
      <c r="G19" s="68">
        <v>15</v>
      </c>
      <c r="H19" s="357">
        <v>212.4</v>
      </c>
      <c r="I19" s="78">
        <f t="shared" si="2"/>
        <v>3186</v>
      </c>
      <c r="J19" s="229">
        <f t="shared" si="0"/>
        <v>0</v>
      </c>
      <c r="K19" s="79">
        <f t="shared" si="1"/>
        <v>65.069999999999993</v>
      </c>
      <c r="L19" s="79">
        <f t="shared" si="3"/>
        <v>65.069999999999993</v>
      </c>
      <c r="M19" s="79">
        <f t="shared" si="4"/>
        <v>3120.93</v>
      </c>
      <c r="N19" s="192"/>
    </row>
    <row r="20" spans="1:14" s="28" customFormat="1" ht="30" customHeight="1" x14ac:dyDescent="0.2">
      <c r="A20" s="29"/>
      <c r="B20" s="353">
        <v>13</v>
      </c>
      <c r="C20" s="354" t="s">
        <v>448</v>
      </c>
      <c r="D20" s="355" t="s">
        <v>208</v>
      </c>
      <c r="E20" s="143" t="s">
        <v>136</v>
      </c>
      <c r="F20" s="150"/>
      <c r="G20" s="77">
        <v>15</v>
      </c>
      <c r="H20" s="356">
        <v>326.93299999999999</v>
      </c>
      <c r="I20" s="78">
        <f t="shared" si="2"/>
        <v>4904</v>
      </c>
      <c r="J20" s="229">
        <f t="shared" si="0"/>
        <v>0</v>
      </c>
      <c r="K20" s="79">
        <f t="shared" si="1"/>
        <v>377.09</v>
      </c>
      <c r="L20" s="79">
        <f t="shared" si="3"/>
        <v>377.09</v>
      </c>
      <c r="M20" s="79">
        <f t="shared" si="4"/>
        <v>4526.91</v>
      </c>
      <c r="N20" s="192"/>
    </row>
    <row r="21" spans="1:14" s="28" customFormat="1" ht="30" customHeight="1" x14ac:dyDescent="0.2">
      <c r="A21" s="29"/>
      <c r="B21" s="353">
        <v>14</v>
      </c>
      <c r="C21" s="354" t="s">
        <v>448</v>
      </c>
      <c r="D21" s="355" t="s">
        <v>171</v>
      </c>
      <c r="E21" s="143" t="s">
        <v>70</v>
      </c>
      <c r="F21" s="150"/>
      <c r="G21" s="77">
        <v>15</v>
      </c>
      <c r="H21" s="356">
        <v>326.93299999999999</v>
      </c>
      <c r="I21" s="78">
        <f t="shared" si="2"/>
        <v>4904</v>
      </c>
      <c r="J21" s="229">
        <f t="shared" si="0"/>
        <v>0</v>
      </c>
      <c r="K21" s="79">
        <f t="shared" si="1"/>
        <v>377.09</v>
      </c>
      <c r="L21" s="79">
        <f t="shared" si="3"/>
        <v>377.09</v>
      </c>
      <c r="M21" s="79">
        <f t="shared" si="4"/>
        <v>4526.91</v>
      </c>
      <c r="N21" s="192"/>
    </row>
    <row r="22" spans="1:14" s="91" customFormat="1" ht="30" customHeight="1" x14ac:dyDescent="0.2">
      <c r="B22" s="353">
        <v>15</v>
      </c>
      <c r="C22" s="354" t="s">
        <v>448</v>
      </c>
      <c r="D22" s="297" t="s">
        <v>480</v>
      </c>
      <c r="E22" s="143" t="s">
        <v>70</v>
      </c>
      <c r="F22" s="148"/>
      <c r="G22" s="77">
        <v>15</v>
      </c>
      <c r="H22" s="356">
        <v>326.93299999999999</v>
      </c>
      <c r="I22" s="78">
        <f>ROUND(G22*H22,2)</f>
        <v>4904</v>
      </c>
      <c r="J22" s="229">
        <f t="shared" si="0"/>
        <v>0</v>
      </c>
      <c r="K22" s="79">
        <f t="shared" si="1"/>
        <v>377.09</v>
      </c>
      <c r="L22" s="79">
        <f t="shared" si="3"/>
        <v>377.09</v>
      </c>
      <c r="M22" s="79">
        <f t="shared" si="4"/>
        <v>4526.91</v>
      </c>
      <c r="N22" s="192"/>
    </row>
    <row r="23" spans="1:14" ht="30" customHeight="1" x14ac:dyDescent="0.2">
      <c r="B23" s="353">
        <v>16</v>
      </c>
      <c r="C23" s="354"/>
      <c r="D23" s="358" t="s">
        <v>361</v>
      </c>
      <c r="E23" s="143" t="s">
        <v>70</v>
      </c>
      <c r="F23" s="148"/>
      <c r="G23" s="77">
        <v>15</v>
      </c>
      <c r="H23" s="356">
        <v>326.93299999999999</v>
      </c>
      <c r="I23" s="78">
        <f t="shared" ref="I23:I33" si="5">ROUND(G23*H23,2)</f>
        <v>4904</v>
      </c>
      <c r="J23" s="229">
        <f t="shared" si="0"/>
        <v>0</v>
      </c>
      <c r="K23" s="79">
        <f t="shared" si="1"/>
        <v>377.09</v>
      </c>
      <c r="L23" s="79">
        <f t="shared" si="3"/>
        <v>377.09</v>
      </c>
      <c r="M23" s="79">
        <f t="shared" si="4"/>
        <v>4526.91</v>
      </c>
      <c r="N23" s="192"/>
    </row>
    <row r="24" spans="1:14" ht="30" customHeight="1" x14ac:dyDescent="0.2">
      <c r="B24" s="353">
        <v>17</v>
      </c>
      <c r="C24" s="354" t="s">
        <v>448</v>
      </c>
      <c r="D24" s="358" t="s">
        <v>452</v>
      </c>
      <c r="E24" s="143" t="s">
        <v>70</v>
      </c>
      <c r="F24" s="148"/>
      <c r="G24" s="77">
        <v>15</v>
      </c>
      <c r="H24" s="356">
        <v>326.93299999999999</v>
      </c>
      <c r="I24" s="78">
        <f t="shared" si="5"/>
        <v>4904</v>
      </c>
      <c r="J24" s="229">
        <f t="shared" ref="J24:J30" si="6"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79">
        <f t="shared" ref="K24:K30" si="7"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377.09</v>
      </c>
      <c r="L24" s="79">
        <f t="shared" ref="L24:L30" si="8">K24</f>
        <v>377.09</v>
      </c>
      <c r="M24" s="79">
        <f t="shared" ref="M24:M30" si="9">I24+J24-L24</f>
        <v>4526.91</v>
      </c>
      <c r="N24" s="192"/>
    </row>
    <row r="25" spans="1:14" ht="30" customHeight="1" x14ac:dyDescent="0.2">
      <c r="B25" s="353">
        <v>18</v>
      </c>
      <c r="C25" s="354" t="s">
        <v>448</v>
      </c>
      <c r="D25" s="358" t="s">
        <v>453</v>
      </c>
      <c r="E25" s="143" t="s">
        <v>70</v>
      </c>
      <c r="F25" s="148"/>
      <c r="G25" s="77">
        <v>15</v>
      </c>
      <c r="H25" s="356">
        <v>326.93299999999999</v>
      </c>
      <c r="I25" s="78">
        <f t="shared" si="5"/>
        <v>4904</v>
      </c>
      <c r="J25" s="229">
        <f t="shared" si="6"/>
        <v>0</v>
      </c>
      <c r="K25" s="79">
        <f t="shared" si="7"/>
        <v>377.09</v>
      </c>
      <c r="L25" s="79">
        <f t="shared" si="8"/>
        <v>377.09</v>
      </c>
      <c r="M25" s="79">
        <f t="shared" si="9"/>
        <v>4526.91</v>
      </c>
      <c r="N25" s="192"/>
    </row>
    <row r="26" spans="1:14" ht="30" customHeight="1" x14ac:dyDescent="0.2">
      <c r="B26" s="353">
        <v>19</v>
      </c>
      <c r="C26" s="354"/>
      <c r="D26" s="304" t="s">
        <v>186</v>
      </c>
      <c r="E26" s="339" t="s">
        <v>70</v>
      </c>
      <c r="F26" s="361"/>
      <c r="G26" s="330">
        <v>15</v>
      </c>
      <c r="H26" s="356">
        <v>326.93299999999999</v>
      </c>
      <c r="I26" s="78">
        <f t="shared" si="5"/>
        <v>4904</v>
      </c>
      <c r="J26" s="229">
        <f t="shared" si="6"/>
        <v>0</v>
      </c>
      <c r="K26" s="79">
        <f t="shared" si="7"/>
        <v>377.09</v>
      </c>
      <c r="L26" s="79">
        <f t="shared" si="8"/>
        <v>377.09</v>
      </c>
      <c r="M26" s="79">
        <f t="shared" si="9"/>
        <v>4526.91</v>
      </c>
      <c r="N26" s="192"/>
    </row>
    <row r="27" spans="1:14" ht="30" customHeight="1" x14ac:dyDescent="0.2">
      <c r="B27" s="353">
        <v>20</v>
      </c>
      <c r="C27" s="354"/>
      <c r="D27" s="358" t="s">
        <v>461</v>
      </c>
      <c r="E27" s="143" t="s">
        <v>70</v>
      </c>
      <c r="F27" s="363"/>
      <c r="G27" s="77">
        <v>15</v>
      </c>
      <c r="H27" s="356">
        <v>326.93299999999999</v>
      </c>
      <c r="I27" s="78">
        <f t="shared" si="5"/>
        <v>4904</v>
      </c>
      <c r="J27" s="229">
        <f t="shared" si="6"/>
        <v>0</v>
      </c>
      <c r="K27" s="79">
        <f t="shared" si="7"/>
        <v>377.09</v>
      </c>
      <c r="L27" s="79">
        <f t="shared" si="8"/>
        <v>377.09</v>
      </c>
      <c r="M27" s="79">
        <f t="shared" si="9"/>
        <v>4526.91</v>
      </c>
      <c r="N27" s="192"/>
    </row>
    <row r="28" spans="1:14" ht="30" customHeight="1" x14ac:dyDescent="0.2">
      <c r="B28" s="353">
        <v>21</v>
      </c>
      <c r="C28" s="354" t="s">
        <v>448</v>
      </c>
      <c r="D28" s="358" t="s">
        <v>477</v>
      </c>
      <c r="E28" s="143" t="s">
        <v>70</v>
      </c>
      <c r="F28" s="363"/>
      <c r="G28" s="77">
        <v>15</v>
      </c>
      <c r="H28" s="356">
        <v>326.93299999999999</v>
      </c>
      <c r="I28" s="78">
        <f t="shared" si="5"/>
        <v>4904</v>
      </c>
      <c r="J28" s="229">
        <f t="shared" si="6"/>
        <v>0</v>
      </c>
      <c r="K28" s="79">
        <f t="shared" si="7"/>
        <v>377.09</v>
      </c>
      <c r="L28" s="79">
        <f t="shared" si="8"/>
        <v>377.09</v>
      </c>
      <c r="M28" s="79">
        <f t="shared" si="9"/>
        <v>4526.91</v>
      </c>
      <c r="N28" s="192"/>
    </row>
    <row r="29" spans="1:14" s="28" customFormat="1" ht="30" customHeight="1" x14ac:dyDescent="0.2">
      <c r="A29" s="29"/>
      <c r="B29" s="353">
        <v>22</v>
      </c>
      <c r="C29" s="354" t="s">
        <v>448</v>
      </c>
      <c r="D29" s="355" t="s">
        <v>464</v>
      </c>
      <c r="E29" s="143" t="s">
        <v>70</v>
      </c>
      <c r="F29" s="148"/>
      <c r="G29" s="77">
        <v>15</v>
      </c>
      <c r="H29" s="356">
        <v>326.93299999999999</v>
      </c>
      <c r="I29" s="78">
        <f t="shared" si="5"/>
        <v>4904</v>
      </c>
      <c r="J29" s="229">
        <f t="shared" si="6"/>
        <v>0</v>
      </c>
      <c r="K29" s="79">
        <f t="shared" si="7"/>
        <v>377.09</v>
      </c>
      <c r="L29" s="79">
        <f t="shared" si="8"/>
        <v>377.09</v>
      </c>
      <c r="M29" s="79">
        <f t="shared" si="9"/>
        <v>4526.91</v>
      </c>
      <c r="N29" s="192"/>
    </row>
    <row r="30" spans="1:14" s="28" customFormat="1" ht="30" customHeight="1" x14ac:dyDescent="0.2">
      <c r="A30" s="29"/>
      <c r="B30" s="353">
        <v>23</v>
      </c>
      <c r="C30" s="354" t="s">
        <v>448</v>
      </c>
      <c r="D30" s="355" t="s">
        <v>471</v>
      </c>
      <c r="E30" s="143" t="s">
        <v>70</v>
      </c>
      <c r="F30" s="148"/>
      <c r="G30" s="77">
        <v>15</v>
      </c>
      <c r="H30" s="356">
        <v>326.93299999999999</v>
      </c>
      <c r="I30" s="78">
        <f t="shared" si="5"/>
        <v>4904</v>
      </c>
      <c r="J30" s="229">
        <f t="shared" si="6"/>
        <v>0</v>
      </c>
      <c r="K30" s="79">
        <f t="shared" si="7"/>
        <v>377.09</v>
      </c>
      <c r="L30" s="79">
        <f t="shared" si="8"/>
        <v>377.09</v>
      </c>
      <c r="M30" s="79">
        <f t="shared" si="9"/>
        <v>4526.91</v>
      </c>
      <c r="N30" s="192"/>
    </row>
    <row r="31" spans="1:14" s="28" customFormat="1" ht="30" customHeight="1" x14ac:dyDescent="0.2">
      <c r="A31" s="29"/>
      <c r="B31" s="353">
        <v>24</v>
      </c>
      <c r="C31" s="354" t="s">
        <v>448</v>
      </c>
      <c r="D31" s="355" t="s">
        <v>482</v>
      </c>
      <c r="E31" s="143" t="s">
        <v>70</v>
      </c>
      <c r="F31" s="148"/>
      <c r="G31" s="77">
        <v>15</v>
      </c>
      <c r="H31" s="356">
        <v>326.93299999999999</v>
      </c>
      <c r="I31" s="78">
        <f t="shared" ref="I31" si="10">ROUND(G31*H31,2)</f>
        <v>4904</v>
      </c>
      <c r="J31" s="229">
        <f t="shared" ref="J31" si="11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79">
        <f t="shared" ref="K31" si="12"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377.09</v>
      </c>
      <c r="L31" s="79">
        <f t="shared" ref="L31" si="13">K31</f>
        <v>377.09</v>
      </c>
      <c r="M31" s="79">
        <f t="shared" ref="M31" si="14">I31+J31-L31</f>
        <v>4526.91</v>
      </c>
      <c r="N31" s="192"/>
    </row>
    <row r="32" spans="1:14" s="28" customFormat="1" ht="30" customHeight="1" x14ac:dyDescent="0.2">
      <c r="A32" s="29"/>
      <c r="B32" s="353">
        <v>25</v>
      </c>
      <c r="C32" s="354" t="s">
        <v>448</v>
      </c>
      <c r="D32" s="355" t="s">
        <v>485</v>
      </c>
      <c r="E32" s="143" t="s">
        <v>70</v>
      </c>
      <c r="F32" s="148"/>
      <c r="G32" s="77">
        <v>8</v>
      </c>
      <c r="H32" s="356">
        <v>326.93299999999999</v>
      </c>
      <c r="I32" s="78">
        <f t="shared" ref="I32" si="15">ROUND(G32*H32,2)</f>
        <v>2615.46</v>
      </c>
      <c r="J32" s="229">
        <f t="shared" ref="J32" si="16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79">
        <f t="shared" ref="K32" si="17">IF(H32&lt;=207.44,0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201.12</v>
      </c>
      <c r="L32" s="79">
        <f t="shared" ref="L32" si="18">K32</f>
        <v>201.12</v>
      </c>
      <c r="M32" s="79">
        <f t="shared" ref="M32" si="19">I32+J32-L32</f>
        <v>2414.34</v>
      </c>
      <c r="N32" s="192"/>
    </row>
    <row r="33" spans="1:14" s="30" customFormat="1" ht="30" customHeight="1" x14ac:dyDescent="0.2">
      <c r="A33" s="5"/>
      <c r="B33" s="353">
        <v>26</v>
      </c>
      <c r="C33" s="354"/>
      <c r="D33" s="355" t="s">
        <v>210</v>
      </c>
      <c r="E33" s="143" t="s">
        <v>55</v>
      </c>
      <c r="F33" s="148"/>
      <c r="G33" s="68">
        <v>15</v>
      </c>
      <c r="H33" s="357">
        <v>100.7333</v>
      </c>
      <c r="I33" s="78">
        <f t="shared" si="5"/>
        <v>1511</v>
      </c>
      <c r="J33" s="229">
        <f t="shared" si="0"/>
        <v>120.42</v>
      </c>
      <c r="K33" s="229">
        <f t="shared" si="1"/>
        <v>0</v>
      </c>
      <c r="L33" s="79">
        <f t="shared" si="3"/>
        <v>0</v>
      </c>
      <c r="M33" s="79">
        <f t="shared" si="4"/>
        <v>1631.42</v>
      </c>
      <c r="N33" s="192"/>
    </row>
    <row r="34" spans="1:14" ht="24" customHeight="1" x14ac:dyDescent="0.2">
      <c r="B34" s="188"/>
      <c r="C34" s="42"/>
      <c r="E34" s="187"/>
      <c r="F34" s="193"/>
      <c r="G34" s="193"/>
      <c r="H34" s="193"/>
      <c r="I34" s="84"/>
      <c r="J34" s="230"/>
      <c r="K34" s="84"/>
      <c r="L34" s="84"/>
      <c r="M34" s="84"/>
      <c r="N34" s="194"/>
    </row>
    <row r="35" spans="1:14" ht="24" customHeight="1" thickBot="1" x14ac:dyDescent="0.25">
      <c r="B35" s="462" t="s">
        <v>17</v>
      </c>
      <c r="C35" s="431"/>
      <c r="D35" s="431"/>
      <c r="E35" s="431"/>
      <c r="F35" s="431"/>
      <c r="G35" s="431"/>
      <c r="H35" s="432"/>
      <c r="I35" s="85">
        <f>SUM(I8:I34)</f>
        <v>127849.41</v>
      </c>
      <c r="J35" s="231">
        <f>SUM(J8:J34)</f>
        <v>120.42</v>
      </c>
      <c r="K35" s="85">
        <f>SUM(K8:K34)</f>
        <v>10174.160000000003</v>
      </c>
      <c r="L35" s="85">
        <f>SUM(L8:L34)</f>
        <v>10174.160000000003</v>
      </c>
      <c r="M35" s="85">
        <f>SUM(M8:M33)</f>
        <v>117795.67000000004</v>
      </c>
      <c r="N35" s="195"/>
    </row>
    <row r="36" spans="1:14" ht="24" customHeight="1" thickTop="1" x14ac:dyDescent="0.2">
      <c r="B36" s="188"/>
      <c r="C36" s="42"/>
      <c r="E36" s="187"/>
      <c r="F36" s="193"/>
      <c r="G36" s="193"/>
      <c r="H36" s="193"/>
      <c r="I36" s="193"/>
      <c r="J36" s="232"/>
      <c r="K36" s="193"/>
      <c r="L36" s="196"/>
      <c r="M36" s="193"/>
      <c r="N36" s="197"/>
    </row>
    <row r="37" spans="1:14" x14ac:dyDescent="0.2">
      <c r="B37" s="137"/>
      <c r="C37" s="5"/>
      <c r="M37" s="199"/>
      <c r="N37" s="177"/>
    </row>
    <row r="38" spans="1:14" x14ac:dyDescent="0.2">
      <c r="B38" s="198"/>
      <c r="N38" s="177"/>
    </row>
    <row r="39" spans="1:14" x14ac:dyDescent="0.2">
      <c r="B39" s="198"/>
      <c r="N39" s="177"/>
    </row>
    <row r="40" spans="1:14" ht="18.75" customHeight="1" x14ac:dyDescent="0.2">
      <c r="B40" s="137"/>
      <c r="C40" s="5"/>
      <c r="D40" s="127" t="s">
        <v>393</v>
      </c>
      <c r="E40" s="5"/>
      <c r="F40" s="5"/>
      <c r="G40" s="5"/>
      <c r="H40" s="5"/>
      <c r="I40" s="35"/>
      <c r="J40" s="35"/>
      <c r="K40" s="5"/>
      <c r="L40" s="460" t="s">
        <v>372</v>
      </c>
      <c r="M40" s="460"/>
      <c r="N40" s="461"/>
    </row>
    <row r="41" spans="1:14" ht="19.5" customHeight="1" thickBot="1" x14ac:dyDescent="0.25">
      <c r="B41" s="138"/>
      <c r="C41" s="140"/>
      <c r="D41" s="459" t="s">
        <v>143</v>
      </c>
      <c r="E41" s="459"/>
      <c r="F41" s="140"/>
      <c r="G41" s="140"/>
      <c r="H41" s="140"/>
      <c r="I41" s="141"/>
      <c r="J41" s="141"/>
      <c r="K41" s="140"/>
      <c r="L41" s="405" t="s">
        <v>373</v>
      </c>
      <c r="M41" s="405"/>
      <c r="N41" s="406"/>
    </row>
    <row r="44" spans="1:14" x14ac:dyDescent="0.2">
      <c r="L44" s="25" t="s">
        <v>97</v>
      </c>
      <c r="M44" s="199">
        <f>M8+M11+M13+M14+M15+M17+M18+M19+M20+M21+M24+M25+M28+M29+M30+M31+M32+M22</f>
        <v>82861.210000000021</v>
      </c>
    </row>
    <row r="45" spans="1:14" x14ac:dyDescent="0.2">
      <c r="M45" s="25">
        <v>0</v>
      </c>
    </row>
    <row r="46" spans="1:14" x14ac:dyDescent="0.2">
      <c r="L46" s="25" t="s">
        <v>98</v>
      </c>
      <c r="M46" s="199">
        <f>M9+M10+M12+M16+M23+M26+M27+M33</f>
        <v>34934.459999999992</v>
      </c>
    </row>
    <row r="47" spans="1:14" x14ac:dyDescent="0.2">
      <c r="M47" s="199">
        <f>M46+M44</f>
        <v>117795.67000000001</v>
      </c>
    </row>
    <row r="49" spans="12:13" x14ac:dyDescent="0.2">
      <c r="L49" s="25" t="s">
        <v>385</v>
      </c>
      <c r="M49" s="199">
        <f>M47-M35</f>
        <v>0</v>
      </c>
    </row>
  </sheetData>
  <autoFilter ref="F1:F49" xr:uid="{00000000-0009-0000-0000-000006000000}"/>
  <mergeCells count="8">
    <mergeCell ref="E2:K2"/>
    <mergeCell ref="E5:K5"/>
    <mergeCell ref="L5:N5"/>
    <mergeCell ref="D41:E41"/>
    <mergeCell ref="L41:N41"/>
    <mergeCell ref="L40:N40"/>
    <mergeCell ref="B35:H35"/>
    <mergeCell ref="D6:K6"/>
  </mergeCells>
  <phoneticPr fontId="25" type="noConversion"/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29" customWidth="1"/>
    <col min="2" max="3" width="4.5703125" style="29" customWidth="1"/>
    <col min="4" max="4" width="33.7109375" style="86" customWidth="1"/>
    <col min="5" max="5" width="12.85546875" style="76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217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29"/>
  </cols>
  <sheetData>
    <row r="1" spans="1:14" ht="14.25" x14ac:dyDescent="0.2">
      <c r="A1" s="5"/>
      <c r="B1" s="179"/>
      <c r="C1" s="285"/>
      <c r="D1" s="180"/>
      <c r="E1" s="181"/>
      <c r="F1" s="182"/>
      <c r="G1" s="182"/>
      <c r="H1" s="182"/>
      <c r="I1" s="182"/>
      <c r="J1" s="225"/>
      <c r="K1" s="182"/>
      <c r="L1" s="182"/>
      <c r="M1" s="182"/>
      <c r="N1" s="183"/>
    </row>
    <row r="2" spans="1:14" ht="30" customHeight="1" x14ac:dyDescent="0.2">
      <c r="A2" s="5"/>
      <c r="B2" s="184"/>
      <c r="C2" s="286"/>
      <c r="D2" s="87"/>
      <c r="E2" s="385" t="s">
        <v>378</v>
      </c>
      <c r="F2" s="385"/>
      <c r="G2" s="385"/>
      <c r="H2" s="385"/>
      <c r="I2" s="385"/>
      <c r="J2" s="385"/>
      <c r="K2" s="385"/>
      <c r="L2" s="185"/>
      <c r="M2" s="185"/>
      <c r="N2" s="186"/>
    </row>
    <row r="3" spans="1:14" ht="30" customHeight="1" x14ac:dyDescent="0.2">
      <c r="A3" s="5"/>
      <c r="B3" s="184"/>
      <c r="C3" s="286"/>
      <c r="D3" s="87"/>
      <c r="E3" s="187"/>
      <c r="F3" s="185"/>
      <c r="G3" s="185"/>
      <c r="H3" s="185"/>
      <c r="I3" s="185"/>
      <c r="J3" s="226"/>
      <c r="K3" s="185"/>
      <c r="L3" s="185"/>
      <c r="M3" s="185"/>
      <c r="N3" s="186"/>
    </row>
    <row r="4" spans="1:14" ht="30" customHeight="1" x14ac:dyDescent="0.2">
      <c r="A4" s="5"/>
      <c r="B4" s="184"/>
      <c r="C4" s="286"/>
      <c r="D4" s="87"/>
      <c r="E4" s="385" t="s">
        <v>380</v>
      </c>
      <c r="F4" s="385"/>
      <c r="G4" s="385"/>
      <c r="H4" s="385"/>
      <c r="I4" s="385"/>
      <c r="J4" s="385"/>
      <c r="K4" s="385"/>
      <c r="L4" s="185"/>
      <c r="M4" s="185"/>
      <c r="N4" s="186"/>
    </row>
    <row r="5" spans="1:14" ht="31.5" customHeight="1" x14ac:dyDescent="0.2">
      <c r="A5" s="5"/>
      <c r="B5" s="188"/>
      <c r="C5" s="42"/>
      <c r="D5" s="87"/>
      <c r="E5" s="464" t="s">
        <v>490</v>
      </c>
      <c r="F5" s="464"/>
      <c r="G5" s="464"/>
      <c r="H5" s="464"/>
      <c r="I5" s="464"/>
      <c r="J5" s="464"/>
      <c r="K5" s="464"/>
      <c r="L5" s="387"/>
      <c r="M5" s="387"/>
      <c r="N5" s="388"/>
    </row>
    <row r="6" spans="1:14" ht="30" customHeight="1" thickBot="1" x14ac:dyDescent="0.25">
      <c r="A6" s="5"/>
      <c r="B6" s="189"/>
      <c r="C6" s="51"/>
      <c r="D6" s="465" t="s">
        <v>26</v>
      </c>
      <c r="E6" s="465"/>
      <c r="F6" s="465"/>
      <c r="G6" s="465"/>
      <c r="H6" s="465"/>
      <c r="I6" s="465"/>
      <c r="J6" s="465"/>
      <c r="K6" s="190"/>
      <c r="L6" s="190"/>
      <c r="M6" s="190"/>
      <c r="N6" s="191"/>
    </row>
    <row r="7" spans="1:14" ht="41.25" customHeight="1" x14ac:dyDescent="0.2">
      <c r="A7" s="5"/>
      <c r="B7" s="153" t="s">
        <v>370</v>
      </c>
      <c r="C7" s="287" t="s">
        <v>448</v>
      </c>
      <c r="D7" s="154" t="s">
        <v>14</v>
      </c>
      <c r="E7" s="154" t="s">
        <v>363</v>
      </c>
      <c r="F7" s="154" t="s">
        <v>364</v>
      </c>
      <c r="G7" s="154" t="s">
        <v>367</v>
      </c>
      <c r="H7" s="154" t="s">
        <v>369</v>
      </c>
      <c r="I7" s="155" t="s">
        <v>365</v>
      </c>
      <c r="J7" s="227" t="s">
        <v>390</v>
      </c>
      <c r="K7" s="154" t="s">
        <v>391</v>
      </c>
      <c r="L7" s="156" t="s">
        <v>366</v>
      </c>
      <c r="M7" s="156" t="s">
        <v>377</v>
      </c>
      <c r="N7" s="172" t="s">
        <v>376</v>
      </c>
    </row>
    <row r="8" spans="1:14" s="28" customFormat="1" ht="30" customHeight="1" x14ac:dyDescent="0.2">
      <c r="A8" s="5"/>
      <c r="B8" s="353">
        <v>1</v>
      </c>
      <c r="C8" s="354"/>
      <c r="D8" s="339" t="s">
        <v>329</v>
      </c>
      <c r="E8" s="360" t="s">
        <v>36</v>
      </c>
      <c r="F8" s="361"/>
      <c r="G8" s="330">
        <v>15</v>
      </c>
      <c r="H8" s="208">
        <v>528.86659999999995</v>
      </c>
      <c r="I8" s="207">
        <f t="shared" ref="I8:I20" si="0">ROUND(G8*H8,2)</f>
        <v>7933</v>
      </c>
      <c r="J8" s="228">
        <f t="shared" ref="J8:J2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208">
        <f t="shared" ref="K8:K27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871.46</v>
      </c>
      <c r="L8" s="208">
        <f>K8</f>
        <v>871.46</v>
      </c>
      <c r="M8" s="208">
        <f>I8+J8-K8</f>
        <v>7061.54</v>
      </c>
      <c r="N8" s="209"/>
    </row>
    <row r="9" spans="1:14" s="28" customFormat="1" ht="30" customHeight="1" x14ac:dyDescent="0.2">
      <c r="A9" s="5"/>
      <c r="B9" s="353">
        <v>2</v>
      </c>
      <c r="C9" s="354" t="s">
        <v>448</v>
      </c>
      <c r="D9" s="339" t="s">
        <v>330</v>
      </c>
      <c r="E9" s="339" t="s">
        <v>75</v>
      </c>
      <c r="F9" s="362"/>
      <c r="G9" s="330">
        <v>15</v>
      </c>
      <c r="H9" s="208">
        <v>366.93299999999999</v>
      </c>
      <c r="I9" s="207">
        <f t="shared" si="0"/>
        <v>5504</v>
      </c>
      <c r="J9" s="228">
        <f t="shared" si="1"/>
        <v>0</v>
      </c>
      <c r="K9" s="208">
        <f t="shared" si="2"/>
        <v>443.05</v>
      </c>
      <c r="L9" s="208">
        <f t="shared" ref="L9:L27" si="3">K9</f>
        <v>443.05</v>
      </c>
      <c r="M9" s="208">
        <f t="shared" ref="M9:M27" si="4">I9+J9-K9</f>
        <v>5060.95</v>
      </c>
      <c r="N9" s="209"/>
    </row>
    <row r="10" spans="1:14" s="28" customFormat="1" ht="30" customHeight="1" x14ac:dyDescent="0.2">
      <c r="A10" s="5"/>
      <c r="B10" s="353">
        <v>3</v>
      </c>
      <c r="C10" s="354" t="s">
        <v>448</v>
      </c>
      <c r="D10" s="339" t="s">
        <v>331</v>
      </c>
      <c r="E10" s="339" t="s">
        <v>75</v>
      </c>
      <c r="F10" s="361"/>
      <c r="G10" s="330">
        <v>15</v>
      </c>
      <c r="H10" s="208">
        <v>366.93299999999999</v>
      </c>
      <c r="I10" s="207">
        <f t="shared" si="0"/>
        <v>5504</v>
      </c>
      <c r="J10" s="228">
        <f t="shared" si="1"/>
        <v>0</v>
      </c>
      <c r="K10" s="208">
        <f t="shared" si="2"/>
        <v>443.05</v>
      </c>
      <c r="L10" s="208">
        <f t="shared" si="3"/>
        <v>443.05</v>
      </c>
      <c r="M10" s="208">
        <f t="shared" si="4"/>
        <v>5060.95</v>
      </c>
      <c r="N10" s="209"/>
    </row>
    <row r="11" spans="1:14" s="28" customFormat="1" ht="30" customHeight="1" x14ac:dyDescent="0.2">
      <c r="A11" s="5"/>
      <c r="B11" s="353">
        <v>4</v>
      </c>
      <c r="C11" s="354" t="s">
        <v>448</v>
      </c>
      <c r="D11" s="339" t="s">
        <v>472</v>
      </c>
      <c r="E11" s="339" t="s">
        <v>41</v>
      </c>
      <c r="F11" s="361"/>
      <c r="G11" s="330">
        <v>15</v>
      </c>
      <c r="H11" s="208">
        <v>347</v>
      </c>
      <c r="I11" s="207">
        <f>ROUND(G11*H11,2)</f>
        <v>5205</v>
      </c>
      <c r="J11" s="228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208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409.84</v>
      </c>
      <c r="L11" s="208">
        <f>K11</f>
        <v>409.84</v>
      </c>
      <c r="M11" s="208">
        <f>I11+J11-K11</f>
        <v>4795.16</v>
      </c>
      <c r="N11" s="209"/>
    </row>
    <row r="12" spans="1:14" s="28" customFormat="1" ht="30" customHeight="1" x14ac:dyDescent="0.2">
      <c r="A12" s="5"/>
      <c r="B12" s="353">
        <v>5</v>
      </c>
      <c r="C12" s="354"/>
      <c r="D12" s="339" t="s">
        <v>457</v>
      </c>
      <c r="E12" s="339" t="s">
        <v>89</v>
      </c>
      <c r="F12" s="361"/>
      <c r="G12" s="330">
        <v>15</v>
      </c>
      <c r="H12" s="208">
        <v>347</v>
      </c>
      <c r="I12" s="207">
        <f t="shared" si="0"/>
        <v>5205</v>
      </c>
      <c r="J12" s="228">
        <f t="shared" si="1"/>
        <v>0</v>
      </c>
      <c r="K12" s="208">
        <f t="shared" si="2"/>
        <v>409.84</v>
      </c>
      <c r="L12" s="208">
        <f t="shared" si="3"/>
        <v>409.84</v>
      </c>
      <c r="M12" s="208">
        <f t="shared" si="4"/>
        <v>4795.16</v>
      </c>
      <c r="N12" s="209"/>
    </row>
    <row r="13" spans="1:14" ht="30" customHeight="1" x14ac:dyDescent="0.2">
      <c r="A13" s="5"/>
      <c r="B13" s="353">
        <v>6</v>
      </c>
      <c r="C13" s="354" t="s">
        <v>448</v>
      </c>
      <c r="D13" s="339" t="s">
        <v>332</v>
      </c>
      <c r="E13" s="339" t="s">
        <v>89</v>
      </c>
      <c r="F13" s="361"/>
      <c r="G13" s="330">
        <v>15</v>
      </c>
      <c r="H13" s="208">
        <v>347</v>
      </c>
      <c r="I13" s="207">
        <f t="shared" si="0"/>
        <v>5205</v>
      </c>
      <c r="J13" s="228">
        <f t="shared" si="1"/>
        <v>0</v>
      </c>
      <c r="K13" s="208">
        <f t="shared" si="2"/>
        <v>409.84</v>
      </c>
      <c r="L13" s="208">
        <f t="shared" si="3"/>
        <v>409.84</v>
      </c>
      <c r="M13" s="208">
        <f t="shared" si="4"/>
        <v>4795.16</v>
      </c>
      <c r="N13" s="209"/>
    </row>
    <row r="14" spans="1:14" ht="30" customHeight="1" x14ac:dyDescent="0.2">
      <c r="A14" s="5"/>
      <c r="B14" s="353">
        <v>7</v>
      </c>
      <c r="C14" s="354" t="s">
        <v>448</v>
      </c>
      <c r="D14" s="339" t="s">
        <v>333</v>
      </c>
      <c r="E14" s="339" t="s">
        <v>89</v>
      </c>
      <c r="F14" s="361"/>
      <c r="G14" s="330">
        <v>15</v>
      </c>
      <c r="H14" s="208">
        <v>347</v>
      </c>
      <c r="I14" s="207">
        <f t="shared" si="0"/>
        <v>5205</v>
      </c>
      <c r="J14" s="228">
        <f t="shared" si="1"/>
        <v>0</v>
      </c>
      <c r="K14" s="208">
        <f t="shared" si="2"/>
        <v>409.84</v>
      </c>
      <c r="L14" s="208">
        <f t="shared" si="3"/>
        <v>409.84</v>
      </c>
      <c r="M14" s="208">
        <f t="shared" si="4"/>
        <v>4795.16</v>
      </c>
      <c r="N14" s="209"/>
    </row>
    <row r="15" spans="1:14" ht="30" customHeight="1" x14ac:dyDescent="0.2">
      <c r="A15" s="5"/>
      <c r="B15" s="353">
        <v>8</v>
      </c>
      <c r="C15" s="354"/>
      <c r="D15" s="339" t="s">
        <v>335</v>
      </c>
      <c r="E15" s="339" t="s">
        <v>89</v>
      </c>
      <c r="F15" s="360"/>
      <c r="G15" s="330">
        <v>15</v>
      </c>
      <c r="H15" s="208">
        <v>347</v>
      </c>
      <c r="I15" s="207">
        <f t="shared" si="0"/>
        <v>5205</v>
      </c>
      <c r="J15" s="228">
        <f t="shared" si="1"/>
        <v>0</v>
      </c>
      <c r="K15" s="208">
        <f t="shared" si="2"/>
        <v>409.84</v>
      </c>
      <c r="L15" s="208">
        <f t="shared" si="3"/>
        <v>409.84</v>
      </c>
      <c r="M15" s="208">
        <f t="shared" si="4"/>
        <v>4795.16</v>
      </c>
      <c r="N15" s="209"/>
    </row>
    <row r="16" spans="1:14" s="5" customFormat="1" ht="30" customHeight="1" x14ac:dyDescent="0.2">
      <c r="B16" s="353">
        <v>9</v>
      </c>
      <c r="C16" s="354" t="s">
        <v>448</v>
      </c>
      <c r="D16" s="339" t="s">
        <v>336</v>
      </c>
      <c r="E16" s="339" t="s">
        <v>89</v>
      </c>
      <c r="F16" s="361"/>
      <c r="G16" s="330">
        <v>15</v>
      </c>
      <c r="H16" s="208">
        <v>347</v>
      </c>
      <c r="I16" s="207">
        <f t="shared" si="0"/>
        <v>5205</v>
      </c>
      <c r="J16" s="228">
        <f t="shared" si="1"/>
        <v>0</v>
      </c>
      <c r="K16" s="208">
        <f t="shared" si="2"/>
        <v>409.84</v>
      </c>
      <c r="L16" s="208">
        <f t="shared" si="3"/>
        <v>409.84</v>
      </c>
      <c r="M16" s="208">
        <f t="shared" si="4"/>
        <v>4795.16</v>
      </c>
      <c r="N16" s="209"/>
    </row>
    <row r="17" spans="1:14" ht="30" customHeight="1" x14ac:dyDescent="0.2">
      <c r="A17" s="5"/>
      <c r="B17" s="353">
        <v>10</v>
      </c>
      <c r="C17" s="354"/>
      <c r="D17" s="339" t="s">
        <v>337</v>
      </c>
      <c r="E17" s="339" t="s">
        <v>89</v>
      </c>
      <c r="F17" s="361"/>
      <c r="G17" s="330">
        <v>15</v>
      </c>
      <c r="H17" s="208">
        <v>347</v>
      </c>
      <c r="I17" s="207">
        <f>ROUND(G17*H17,2)</f>
        <v>5205</v>
      </c>
      <c r="J17" s="228">
        <f t="shared" si="1"/>
        <v>0</v>
      </c>
      <c r="K17" s="208">
        <f t="shared" si="2"/>
        <v>409.84</v>
      </c>
      <c r="L17" s="208">
        <f t="shared" si="3"/>
        <v>409.84</v>
      </c>
      <c r="M17" s="208">
        <f t="shared" si="4"/>
        <v>4795.16</v>
      </c>
      <c r="N17" s="209"/>
    </row>
    <row r="18" spans="1:14" ht="30" customHeight="1" x14ac:dyDescent="0.2">
      <c r="A18" s="5"/>
      <c r="B18" s="353">
        <v>11</v>
      </c>
      <c r="C18" s="354"/>
      <c r="D18" s="339" t="s">
        <v>338</v>
      </c>
      <c r="E18" s="339" t="s">
        <v>89</v>
      </c>
      <c r="F18" s="361"/>
      <c r="G18" s="330">
        <v>15</v>
      </c>
      <c r="H18" s="208">
        <v>347</v>
      </c>
      <c r="I18" s="207">
        <f t="shared" si="0"/>
        <v>5205</v>
      </c>
      <c r="J18" s="228">
        <f t="shared" si="1"/>
        <v>0</v>
      </c>
      <c r="K18" s="208">
        <f t="shared" si="2"/>
        <v>409.84</v>
      </c>
      <c r="L18" s="208">
        <f t="shared" si="3"/>
        <v>409.84</v>
      </c>
      <c r="M18" s="208">
        <f>I18+J18-K18</f>
        <v>4795.16</v>
      </c>
      <c r="N18" s="209"/>
    </row>
    <row r="19" spans="1:14" ht="30" customHeight="1" x14ac:dyDescent="0.2">
      <c r="A19" s="5"/>
      <c r="B19" s="353">
        <v>12</v>
      </c>
      <c r="C19" s="354"/>
      <c r="D19" s="339" t="s">
        <v>339</v>
      </c>
      <c r="E19" s="339" t="s">
        <v>89</v>
      </c>
      <c r="F19" s="361"/>
      <c r="G19" s="330">
        <v>15</v>
      </c>
      <c r="H19" s="208">
        <v>347</v>
      </c>
      <c r="I19" s="207">
        <f t="shared" si="0"/>
        <v>5205</v>
      </c>
      <c r="J19" s="228">
        <f t="shared" si="1"/>
        <v>0</v>
      </c>
      <c r="K19" s="208">
        <f t="shared" si="2"/>
        <v>409.84</v>
      </c>
      <c r="L19" s="208">
        <f t="shared" si="3"/>
        <v>409.84</v>
      </c>
      <c r="M19" s="208">
        <f t="shared" si="4"/>
        <v>4795.16</v>
      </c>
      <c r="N19" s="209"/>
    </row>
    <row r="20" spans="1:14" ht="30" customHeight="1" x14ac:dyDescent="0.2">
      <c r="A20" s="5"/>
      <c r="B20" s="353">
        <v>13</v>
      </c>
      <c r="C20" s="354"/>
      <c r="D20" s="341" t="s">
        <v>340</v>
      </c>
      <c r="E20" s="339" t="s">
        <v>141</v>
      </c>
      <c r="F20" s="361"/>
      <c r="G20" s="330">
        <v>15</v>
      </c>
      <c r="H20" s="208">
        <v>380.33330000000001</v>
      </c>
      <c r="I20" s="207">
        <f t="shared" si="0"/>
        <v>5705</v>
      </c>
      <c r="J20" s="228">
        <f t="shared" si="1"/>
        <v>0</v>
      </c>
      <c r="K20" s="208">
        <f t="shared" si="2"/>
        <v>475.21</v>
      </c>
      <c r="L20" s="208">
        <f t="shared" si="3"/>
        <v>475.21</v>
      </c>
      <c r="M20" s="208">
        <f t="shared" si="4"/>
        <v>5229.79</v>
      </c>
      <c r="N20" s="209"/>
    </row>
    <row r="21" spans="1:14" ht="30" customHeight="1" x14ac:dyDescent="0.2">
      <c r="A21" s="5"/>
      <c r="B21" s="353">
        <v>14</v>
      </c>
      <c r="C21" s="354" t="s">
        <v>448</v>
      </c>
      <c r="D21" s="341" t="s">
        <v>341</v>
      </c>
      <c r="E21" s="339" t="s">
        <v>89</v>
      </c>
      <c r="F21" s="361"/>
      <c r="G21" s="330">
        <v>15</v>
      </c>
      <c r="H21" s="208">
        <v>347</v>
      </c>
      <c r="I21" s="207">
        <f t="shared" ref="I21:I27" si="5">ROUND(G21*H21,2)</f>
        <v>5205</v>
      </c>
      <c r="J21" s="228">
        <f t="shared" si="1"/>
        <v>0</v>
      </c>
      <c r="K21" s="208">
        <f t="shared" si="2"/>
        <v>409.84</v>
      </c>
      <c r="L21" s="208">
        <f t="shared" si="3"/>
        <v>409.84</v>
      </c>
      <c r="M21" s="208">
        <f t="shared" si="4"/>
        <v>4795.16</v>
      </c>
      <c r="N21" s="209"/>
    </row>
    <row r="22" spans="1:14" ht="30" customHeight="1" x14ac:dyDescent="0.2">
      <c r="A22" s="5"/>
      <c r="B22" s="353">
        <v>15</v>
      </c>
      <c r="C22" s="354"/>
      <c r="D22" s="341" t="s">
        <v>463</v>
      </c>
      <c r="E22" s="339" t="s">
        <v>89</v>
      </c>
      <c r="F22" s="361"/>
      <c r="G22" s="330">
        <v>15</v>
      </c>
      <c r="H22" s="208">
        <v>347</v>
      </c>
      <c r="I22" s="207">
        <f t="shared" si="5"/>
        <v>5205</v>
      </c>
      <c r="J22" s="228">
        <f t="shared" si="1"/>
        <v>0</v>
      </c>
      <c r="K22" s="208">
        <f t="shared" si="2"/>
        <v>409.84</v>
      </c>
      <c r="L22" s="208">
        <f t="shared" si="3"/>
        <v>409.84</v>
      </c>
      <c r="M22" s="208">
        <f t="shared" si="4"/>
        <v>4795.16</v>
      </c>
      <c r="N22" s="209"/>
    </row>
    <row r="23" spans="1:14" ht="30" customHeight="1" x14ac:dyDescent="0.2">
      <c r="A23" s="5"/>
      <c r="B23" s="353">
        <v>16</v>
      </c>
      <c r="C23" s="354"/>
      <c r="D23" s="341" t="s">
        <v>386</v>
      </c>
      <c r="E23" s="339" t="s">
        <v>89</v>
      </c>
      <c r="F23" s="361"/>
      <c r="G23" s="330">
        <v>15</v>
      </c>
      <c r="H23" s="208">
        <v>347</v>
      </c>
      <c r="I23" s="207">
        <f t="shared" si="5"/>
        <v>5205</v>
      </c>
      <c r="J23" s="228">
        <f t="shared" si="1"/>
        <v>0</v>
      </c>
      <c r="K23" s="208">
        <f t="shared" si="2"/>
        <v>409.84</v>
      </c>
      <c r="L23" s="208">
        <f t="shared" si="3"/>
        <v>409.84</v>
      </c>
      <c r="M23" s="208">
        <f>I23+J23-K23</f>
        <v>4795.16</v>
      </c>
      <c r="N23" s="209"/>
    </row>
    <row r="24" spans="1:14" ht="30" customHeight="1" x14ac:dyDescent="0.2">
      <c r="A24" s="5"/>
      <c r="B24" s="353">
        <v>17</v>
      </c>
      <c r="C24" s="354" t="s">
        <v>448</v>
      </c>
      <c r="D24" s="339" t="s">
        <v>334</v>
      </c>
      <c r="E24" s="339" t="s">
        <v>55</v>
      </c>
      <c r="F24" s="361"/>
      <c r="G24" s="330">
        <v>15</v>
      </c>
      <c r="H24" s="208">
        <v>106.6666</v>
      </c>
      <c r="I24" s="207">
        <f t="shared" si="5"/>
        <v>1600</v>
      </c>
      <c r="J24" s="228">
        <f t="shared" si="1"/>
        <v>114.73</v>
      </c>
      <c r="K24" s="228">
        <f t="shared" si="2"/>
        <v>0</v>
      </c>
      <c r="L24" s="228">
        <f t="shared" si="3"/>
        <v>0</v>
      </c>
      <c r="M24" s="208">
        <f t="shared" si="4"/>
        <v>1714.73</v>
      </c>
      <c r="N24" s="209"/>
    </row>
    <row r="25" spans="1:14" ht="36.6" customHeight="1" x14ac:dyDescent="0.2">
      <c r="A25" s="5"/>
      <c r="B25" s="353">
        <v>18</v>
      </c>
      <c r="C25" s="354"/>
      <c r="D25" s="341" t="s">
        <v>445</v>
      </c>
      <c r="E25" s="339" t="s">
        <v>89</v>
      </c>
      <c r="F25" s="361"/>
      <c r="G25" s="330">
        <v>15</v>
      </c>
      <c r="H25" s="208">
        <v>326.93299999999999</v>
      </c>
      <c r="I25" s="207">
        <v>4904</v>
      </c>
      <c r="J25" s="228">
        <v>0</v>
      </c>
      <c r="K25" s="208">
        <v>377.09</v>
      </c>
      <c r="L25" s="208">
        <v>377.09</v>
      </c>
      <c r="M25" s="208">
        <v>4526.91</v>
      </c>
      <c r="N25" s="209"/>
    </row>
    <row r="26" spans="1:14" ht="30" customHeight="1" x14ac:dyDescent="0.2">
      <c r="A26" s="5"/>
      <c r="B26" s="353">
        <v>19</v>
      </c>
      <c r="C26" s="354"/>
      <c r="D26" s="341" t="s">
        <v>196</v>
      </c>
      <c r="E26" s="339" t="s">
        <v>185</v>
      </c>
      <c r="F26" s="361"/>
      <c r="G26" s="330">
        <v>15</v>
      </c>
      <c r="H26" s="208">
        <v>326.93329999999997</v>
      </c>
      <c r="I26" s="207">
        <f t="shared" si="5"/>
        <v>4904</v>
      </c>
      <c r="J26" s="228">
        <f t="shared" si="1"/>
        <v>0</v>
      </c>
      <c r="K26" s="208">
        <f t="shared" si="2"/>
        <v>377.09</v>
      </c>
      <c r="L26" s="208">
        <f t="shared" si="3"/>
        <v>377.09</v>
      </c>
      <c r="M26" s="208">
        <f t="shared" si="4"/>
        <v>4526.91</v>
      </c>
      <c r="N26" s="209"/>
    </row>
    <row r="27" spans="1:14" ht="29.45" customHeight="1" x14ac:dyDescent="0.2">
      <c r="A27" s="5"/>
      <c r="B27" s="353">
        <v>20</v>
      </c>
      <c r="C27" s="354"/>
      <c r="D27" s="341" t="s">
        <v>344</v>
      </c>
      <c r="E27" s="339" t="s">
        <v>185</v>
      </c>
      <c r="F27" s="361"/>
      <c r="G27" s="330">
        <v>15</v>
      </c>
      <c r="H27" s="208">
        <v>326.93329999999997</v>
      </c>
      <c r="I27" s="207">
        <f t="shared" si="5"/>
        <v>4904</v>
      </c>
      <c r="J27" s="228">
        <f t="shared" si="1"/>
        <v>0</v>
      </c>
      <c r="K27" s="208">
        <f t="shared" si="2"/>
        <v>377.09</v>
      </c>
      <c r="L27" s="208">
        <f t="shared" si="3"/>
        <v>377.09</v>
      </c>
      <c r="M27" s="208">
        <f t="shared" si="4"/>
        <v>4526.91</v>
      </c>
      <c r="N27" s="209"/>
    </row>
    <row r="28" spans="1:14" ht="29.45" customHeight="1" x14ac:dyDescent="0.2">
      <c r="A28" s="5"/>
      <c r="B28" s="353">
        <v>21</v>
      </c>
      <c r="C28" s="354" t="s">
        <v>448</v>
      </c>
      <c r="D28" s="341" t="s">
        <v>474</v>
      </c>
      <c r="E28" s="339" t="s">
        <v>185</v>
      </c>
      <c r="F28" s="361"/>
      <c r="G28" s="330">
        <v>15</v>
      </c>
      <c r="H28" s="208">
        <v>326.93329999999997</v>
      </c>
      <c r="I28" s="207">
        <f>ROUND(G28*H28,2)</f>
        <v>4904</v>
      </c>
      <c r="J28" s="228">
        <f>IFERROR(IF(ROUND((((I28/G28*30.4)-VLOOKUP((I28/G28*30.4),TARIFA,1))*VLOOKUP((I28/G28*30.4),TARIFA,3)+VLOOKUP((I28/G28*30.4),TARIFA,2)-VLOOKUP((I28/G28*30.4),SUBSIDIO,2))/30.4*G28,2)&lt;0,ROUND(-(((I28/G28*30.4)-VLOOKUP((I28/G28*30.4),TARIFA,1))*VLOOKUP((I28/G28*30.4),TARIFA,3)+VLOOKUP((I28/G28*30.4),TARIFA,2)-VLOOKUP((I28/G28*30.4),SUBSIDIO,2))/30.4*G28,2),0),0)</f>
        <v>0</v>
      </c>
      <c r="K28" s="208">
        <f>IF(H28&lt;=207.44,0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377.09</v>
      </c>
      <c r="L28" s="208">
        <f>K28</f>
        <v>377.09</v>
      </c>
      <c r="M28" s="208">
        <f>I28+J28-K28</f>
        <v>4526.91</v>
      </c>
      <c r="N28" s="209"/>
    </row>
    <row r="29" spans="1:14" ht="29.45" customHeight="1" x14ac:dyDescent="0.2">
      <c r="A29" s="5"/>
      <c r="B29" s="353">
        <v>22</v>
      </c>
      <c r="C29" s="354" t="s">
        <v>448</v>
      </c>
      <c r="D29" s="341" t="s">
        <v>475</v>
      </c>
      <c r="E29" s="339" t="s">
        <v>185</v>
      </c>
      <c r="F29" s="361"/>
      <c r="G29" s="330">
        <v>15</v>
      </c>
      <c r="H29" s="208">
        <v>326.93329999999997</v>
      </c>
      <c r="I29" s="207">
        <f>ROUND(G29*H29,2)</f>
        <v>4904</v>
      </c>
      <c r="J29" s="228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208">
        <f>IF(H29&lt;=207.44,0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377.09</v>
      </c>
      <c r="L29" s="208">
        <f>K29</f>
        <v>377.09</v>
      </c>
      <c r="M29" s="208">
        <f>I29+J29-K29</f>
        <v>4526.91</v>
      </c>
      <c r="N29" s="209"/>
    </row>
    <row r="30" spans="1:14" ht="18" customHeight="1" x14ac:dyDescent="0.2">
      <c r="A30" s="5"/>
      <c r="B30" s="467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9"/>
    </row>
    <row r="31" spans="1:14" ht="18" customHeight="1" x14ac:dyDescent="0.2">
      <c r="A31" s="5"/>
      <c r="B31" s="466" t="s">
        <v>17</v>
      </c>
      <c r="C31" s="432"/>
      <c r="D31" s="438"/>
      <c r="E31" s="438"/>
      <c r="F31" s="438"/>
      <c r="G31" s="438"/>
      <c r="H31" s="438"/>
      <c r="I31" s="47">
        <f>SUM(I8:I29)</f>
        <v>113226</v>
      </c>
      <c r="J31" s="47">
        <f t="shared" ref="J31:M31" si="6">SUM(J8:J29)</f>
        <v>114.73</v>
      </c>
      <c r="K31" s="47">
        <f t="shared" si="6"/>
        <v>9036.3000000000011</v>
      </c>
      <c r="L31" s="47">
        <f t="shared" si="6"/>
        <v>9036.3000000000011</v>
      </c>
      <c r="M31" s="47">
        <f t="shared" si="6"/>
        <v>104304.43000000004</v>
      </c>
      <c r="N31" s="201"/>
    </row>
    <row r="32" spans="1:14" ht="18" customHeight="1" x14ac:dyDescent="0.2">
      <c r="A32" s="5" t="s">
        <v>459</v>
      </c>
      <c r="B32" s="202"/>
      <c r="C32" s="359"/>
      <c r="E32" s="193"/>
      <c r="F32" s="185"/>
      <c r="G32" s="185"/>
      <c r="H32" s="185"/>
      <c r="I32" s="185"/>
      <c r="J32" s="226"/>
      <c r="K32" s="185"/>
      <c r="L32" s="185"/>
      <c r="M32" s="185"/>
      <c r="N32" s="203"/>
    </row>
    <row r="33" spans="1:14" ht="12" customHeight="1" x14ac:dyDescent="0.2">
      <c r="A33" s="5" t="s">
        <v>29</v>
      </c>
      <c r="B33" s="202"/>
      <c r="C33" s="359"/>
      <c r="E33" s="193"/>
      <c r="F33" s="185"/>
      <c r="G33" s="185"/>
      <c r="H33" s="185"/>
      <c r="I33" s="185"/>
      <c r="J33" s="226"/>
      <c r="K33" s="185"/>
      <c r="L33" s="185"/>
      <c r="M33" s="204"/>
      <c r="N33" s="205"/>
    </row>
    <row r="34" spans="1:14" x14ac:dyDescent="0.2">
      <c r="B34" s="198"/>
      <c r="N34" s="206"/>
    </row>
    <row r="35" spans="1:14" x14ac:dyDescent="0.2">
      <c r="B35" s="198"/>
      <c r="N35" s="177"/>
    </row>
    <row r="36" spans="1:14" x14ac:dyDescent="0.2">
      <c r="B36" s="198"/>
      <c r="N36" s="177"/>
    </row>
    <row r="37" spans="1:14" ht="13.5" x14ac:dyDescent="0.2">
      <c r="B37" s="137"/>
      <c r="C37" s="5"/>
      <c r="D37" s="127" t="s">
        <v>393</v>
      </c>
      <c r="E37" s="5"/>
      <c r="F37" s="5"/>
      <c r="G37" s="5"/>
      <c r="H37" s="5"/>
      <c r="I37" s="35"/>
      <c r="J37" s="35"/>
      <c r="K37" s="5"/>
      <c r="L37" s="460" t="s">
        <v>372</v>
      </c>
      <c r="M37" s="460"/>
      <c r="N37" s="461"/>
    </row>
    <row r="38" spans="1:14" ht="13.5" thickBot="1" x14ac:dyDescent="0.25">
      <c r="B38" s="138"/>
      <c r="C38" s="140"/>
      <c r="D38" s="459" t="s">
        <v>143</v>
      </c>
      <c r="E38" s="459"/>
      <c r="F38" s="140"/>
      <c r="G38" s="140"/>
      <c r="H38" s="140"/>
      <c r="I38" s="141"/>
      <c r="J38" s="141"/>
      <c r="K38" s="140"/>
      <c r="L38" s="405" t="s">
        <v>373</v>
      </c>
      <c r="M38" s="405"/>
      <c r="N38" s="406"/>
    </row>
    <row r="40" spans="1:14" x14ac:dyDescent="0.2">
      <c r="L40" s="25" t="s">
        <v>97</v>
      </c>
      <c r="M40" s="216">
        <f>M9+M10+M11+M13+M14+M16+M21+M24+M28+M29</f>
        <v>44866.25</v>
      </c>
    </row>
    <row r="42" spans="1:14" x14ac:dyDescent="0.2">
      <c r="L42" s="25" t="s">
        <v>98</v>
      </c>
      <c r="M42" s="216">
        <f>M8+M12+M15+M17+M18+M19+M20+M22+M23+M25+M26+M27</f>
        <v>59438.180000000008</v>
      </c>
    </row>
    <row r="43" spans="1:14" x14ac:dyDescent="0.2">
      <c r="M43" s="216">
        <f>M40+M42</f>
        <v>104304.43000000001</v>
      </c>
    </row>
    <row r="45" spans="1:14" x14ac:dyDescent="0.2">
      <c r="L45" s="25" t="s">
        <v>385</v>
      </c>
      <c r="M45" s="217">
        <f>M31-M43</f>
        <v>0</v>
      </c>
    </row>
  </sheetData>
  <mergeCells count="10">
    <mergeCell ref="D38:E38"/>
    <mergeCell ref="L38:N38"/>
    <mergeCell ref="E4:K4"/>
    <mergeCell ref="E2:K2"/>
    <mergeCell ref="E5:K5"/>
    <mergeCell ref="L5:N5"/>
    <mergeCell ref="D6:J6"/>
    <mergeCell ref="L37:N37"/>
    <mergeCell ref="B31:H31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2023-09-15T17:59:44Z</cp:lastPrinted>
  <dcterms:created xsi:type="dcterms:W3CDTF">2000-05-05T04:08:27Z</dcterms:created>
  <dcterms:modified xsi:type="dcterms:W3CDTF">2024-05-27T17:37:34Z</dcterms:modified>
</cp:coreProperties>
</file>